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tQHDPiofeErPIxtHw9vUVFDAGPiMlYuH5NZpi2NgWQg1TXdMt2pM4YBi1kUeuHkWB/lMj0FYcBHzaQH8J9hnyQ==" workbookSaltValue="uhhf92J7lR59/WwTH51p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T31" i="8"/>
  <c r="F16" i="11"/>
  <c r="AQ16" i="11" s="1"/>
  <c r="U13" i="16"/>
  <c r="P13" i="14"/>
  <c r="R13" i="17"/>
  <c r="I13" i="14"/>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J18" i="11"/>
  <c r="BK21" i="11"/>
  <c r="AP22" i="20"/>
  <c r="BV19" i="16"/>
  <c r="BW16" i="20"/>
  <c r="BF20" i="11"/>
  <c r="BK17" i="11"/>
  <c r="AQ12" i="21"/>
  <c r="X16" i="16"/>
  <c r="X23" i="16" s="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BL19" i="11"/>
  <c r="BM17" i="11"/>
  <c r="BF21" i="11"/>
  <c r="BF17" i="11"/>
  <c r="BL12" i="11"/>
  <c r="BI25" i="11"/>
  <c r="V13" i="11"/>
  <c r="BI19" i="11"/>
  <c r="R25" i="14"/>
  <c r="BL25" i="11"/>
  <c r="Q25" i="11" s="1"/>
  <c r="AZ9" i="11"/>
  <c r="T16" i="16"/>
  <c r="BW18" i="20"/>
  <c r="BW12" i="20"/>
  <c r="BV10" i="16"/>
  <c r="V12" i="16"/>
  <c r="S22" i="17"/>
  <c r="S16" i="16"/>
  <c r="S23" i="16" s="1"/>
  <c r="BL20" i="11"/>
  <c r="BL16" i="11"/>
  <c r="BH21" i="11"/>
  <c r="BH23" i="11" s="1"/>
  <c r="AZ25" i="11"/>
  <c r="AZ30" i="11" s="1"/>
  <c r="BM18" i="11"/>
  <c r="BH17" i="11"/>
  <c r="BH25" i="11"/>
  <c r="BI21" i="11"/>
  <c r="L10" i="2"/>
  <c r="X21" i="20"/>
  <c r="L16" i="2"/>
  <c r="L18" i="2"/>
  <c r="L9" i="2"/>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L31" i="21"/>
  <c r="AQ17" i="11"/>
  <c r="P12"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<sst xmlns="http://schemas.openxmlformats.org/spreadsheetml/2006/main" count="2682" uniqueCount="1193">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</sst>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bmXr0cHr4brXuoKPupboY6xEZAOgafMxFjb+/3rHKL8BybYni115yIXQdBJvxN3qE6gxDpG2nGQCjBa3RhK2g==" saltValue="adIC43xzsZ1VAHDdOyL5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4</v>
      </c>
      <c r="F10" s="240">
        <f>IF(ISNUMBER(Datos!K10),Datos!K10," - ")</f>
        <v>0</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25.939393939393938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652</v>
      </c>
      <c r="D17" s="239">
        <f>IF(ISNUMBER(IF(D_I="SI",Datos!I17,Datos!I17+Datos!AC17)),IF(D_I="SI",Datos!I17,Datos!I17+Datos!AC17)," - ")</f>
        <v>652</v>
      </c>
      <c r="E17" s="240">
        <f>IF(ISNUMBER(IF(D_I="SI",Datos!J17,Datos!J17+Datos!AD17)),IF(D_I="SI",Datos!J17,Datos!J17+Datos!AD17)," - ")</f>
        <v>251</v>
      </c>
      <c r="F17" s="240">
        <f>IF(ISNUMBER(IF(D_I="SI",Datos!K17,Datos!K17+Datos!AE17)),IF(D_I="SI",Datos!K17,Datos!K17+Datos!AE17)," - ")</f>
        <v>251</v>
      </c>
      <c r="G17" s="1390" t="str">
        <f>IF(Datos!E17&lt;&gt;"",Datos!E17,Datos!D17)</f>
        <v>04</v>
      </c>
      <c r="H17" s="241">
        <f>IF(ISNUMBER(IF(D_I="SI",Datos!L17,Datos!L17+Datos!AF17)),IF(D_I="SI",Datos!L17,Datos!L17+Datos!AF17)," - ")</f>
        <v>652</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28.573705179282868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108</v>
      </c>
      <c r="E18" s="240">
        <f>IF(ISNUMBER(IF(D_I="SI",Datos!J18,Datos!J18+Datos!AD18)),IF(D_I="SI",Datos!J18,Datos!J18+Datos!AD18)," - ")</f>
        <v>35</v>
      </c>
      <c r="F18" s="240">
        <f>IF(ISNUMBER(IF(D_I="SI",Datos!K18,Datos!K18+Datos!AE18)),IF(D_I="SI",Datos!K18,Datos!K18+Datos!AE18)," - ")</f>
        <v>38</v>
      </c>
      <c r="G18" s="1390" t="str">
        <f>IF(Datos!E18&lt;&gt;"",Datos!E18,Datos!D18)</f>
        <v>37</v>
      </c>
      <c r="H18" s="241">
        <f>IF(ISNUMBER(IF(D_I="SI",Datos!L18,Datos!L18+Datos!AF18)),IF(D_I="SI",Datos!L18,Datos!L18+Datos!AF18)," - ")</f>
        <v>105</v>
      </c>
      <c r="I18" s="1400" t="str">
        <f>IF(ISNUMBER(Datos!AS18/Datos!BM18),Datos!AS18/Datos!BM18," - ")</f>
        <v xml:space="preserve"> - </v>
      </c>
      <c r="J18" s="1401" t="str">
        <f>IF(ISNUMBER((Datos!BY18+Datos!BZ18)/Datos!CN18),(Datos!BY18+Datos!BZ18)/Datos!CN18," - ")</f>
        <v xml:space="preserve"> - </v>
      </c>
      <c r="K18" s="244">
        <f t="shared" si="3"/>
        <v>-2.7777777777777776E-2</v>
      </c>
      <c r="L18" s="1402">
        <f>IF(ISNUMBER(NºAsuntos!I18/NºAsuntos!G18),(NºAsuntos!I18/NºAsuntos!G18)*11," - ")</f>
        <v>30.394736842105264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760</v>
      </c>
      <c r="D23" s="1407">
        <f>SUBTOTAL(9,D16:D22)</f>
        <v>760</v>
      </c>
      <c r="E23" s="1408">
        <f>SUBTOTAL(9,E16:E22)</f>
        <v>286</v>
      </c>
      <c r="F23" s="1408">
        <f>SUBTOTAL(9,F16:F22)</f>
        <v>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784</v>
      </c>
      <c r="D31" s="1435">
        <f>SUBTOTAL(9,D9:D30)</f>
        <v>784</v>
      </c>
      <c r="E31" s="1436">
        <f>SUBTOTAL(9,E9:E30)</f>
        <v>290</v>
      </c>
      <c r="F31" s="1436">
        <f>SUBTOTAL(9,F9:F30)</f>
        <v>289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DPVbAxTPcCZwyqhRfe/B3OOPuB5cc0DH/1eF2hqeSsBbrdZcMPs0EL9PLItjF7iKdwe8eJdOJ1Br5WB6YOBTQ==" saltValue="luLLZSiYwf79o2W9veoI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WZtVY3waqlMUrvQpcYYo1pvnU/WeCDdV3zSd3ANNeiiSMuU9pQG5W/a0/bN7W3h9l7ZHLLNUqdDHQ4yL6Wj7Q==" saltValue="7JZcqJ2pc9yCJ1aV5Pd3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4</v>
      </c>
      <c r="K10" s="194">
        <v>0</v>
      </c>
      <c r="L10" s="194">
        <v>28</v>
      </c>
      <c r="M10" s="194">
        <v>0</v>
      </c>
      <c r="N10" s="194">
        <v>0</v>
      </c>
      <c r="O10" s="194">
        <v>0</v>
      </c>
      <c r="P10" s="194">
        <v>0</v>
      </c>
      <c r="Q10" s="194">
        <v>0</v>
      </c>
      <c r="R10" s="194">
        <v>0</v>
      </c>
      <c r="S10" s="194">
        <v>18</v>
      </c>
      <c r="T10" s="194">
        <v>1</v>
      </c>
      <c r="U10" s="194">
        <v>2</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2</v>
      </c>
      <c r="BB10" s="139">
        <f t="shared" si="0"/>
        <v>17</v>
      </c>
      <c r="BC10" s="135">
        <f t="shared" si="0"/>
        <v>2</v>
      </c>
      <c r="BD10" s="136">
        <f>IF(ISNUMBER(BA10/AZ10),BA10/AZ10," - ")</f>
        <v>2</v>
      </c>
      <c r="BE10" s="137">
        <f>IF(ISNUMBER(BB10/BA10),BB10/BA10, " - ")</f>
        <v>8.5</v>
      </c>
      <c r="BF10" s="137">
        <f>IF(ISNUMBER(BC10/BA10),BC10/BA10, " - ")</f>
        <v>1</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826</v>
      </c>
      <c r="J12" s="196">
        <v>267</v>
      </c>
      <c r="K12" s="196">
        <v>297</v>
      </c>
      <c r="L12" s="196">
        <v>796</v>
      </c>
      <c r="M12" s="196">
        <v>112</v>
      </c>
      <c r="N12" s="196">
        <v>113</v>
      </c>
      <c r="O12" s="194">
        <v>145</v>
      </c>
      <c r="P12" s="196">
        <v>62</v>
      </c>
      <c r="Q12" s="196">
        <v>65</v>
      </c>
      <c r="R12" s="196">
        <v>683</v>
      </c>
      <c r="S12" s="196">
        <v>806</v>
      </c>
      <c r="T12" s="196">
        <v>348</v>
      </c>
      <c r="U12" s="196">
        <v>376</v>
      </c>
      <c r="V12" s="196">
        <v>778</v>
      </c>
      <c r="W12" s="196">
        <v>90</v>
      </c>
      <c r="X12" s="202">
        <v>198</v>
      </c>
      <c r="Y12" s="204">
        <v>52</v>
      </c>
      <c r="Z12" s="194">
        <v>74</v>
      </c>
      <c r="AA12" s="194">
        <v>66</v>
      </c>
      <c r="AB12" s="194">
        <v>60</v>
      </c>
      <c r="AC12" s="196">
        <v>0</v>
      </c>
      <c r="AD12" s="196">
        <v>0</v>
      </c>
      <c r="AE12" s="196">
        <v>0</v>
      </c>
      <c r="AF12" s="202">
        <v>0</v>
      </c>
      <c r="AG12" s="215">
        <v>62</v>
      </c>
      <c r="AH12" s="196">
        <v>46</v>
      </c>
      <c r="AI12" s="196">
        <v>71</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868</v>
      </c>
      <c r="AZ12" s="137">
        <f t="shared" si="1"/>
        <v>394</v>
      </c>
      <c r="BA12" s="137">
        <f t="shared" si="1"/>
        <v>447</v>
      </c>
      <c r="BB12" s="137">
        <f t="shared" si="1"/>
        <v>815</v>
      </c>
      <c r="BC12" s="135">
        <f>IF(ISNUMBER(X12),X12," - ")</f>
        <v>198</v>
      </c>
      <c r="BD12" s="136">
        <f t="shared" si="2"/>
        <v>1.1345177664974619</v>
      </c>
      <c r="BE12" s="137">
        <f t="shared" si="3"/>
        <v>1.8232662192393736</v>
      </c>
      <c r="BF12" s="137">
        <f t="shared" si="4"/>
        <v>0.44295302013422821</v>
      </c>
      <c r="BG12" s="209">
        <f t="shared" si="5"/>
        <v>2.8232662192393736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850</v>
      </c>
      <c r="J14" s="197">
        <f t="shared" si="7"/>
        <v>271</v>
      </c>
      <c r="K14" s="197">
        <f t="shared" si="7"/>
        <v>297</v>
      </c>
      <c r="L14" s="197">
        <f t="shared" si="7"/>
        <v>824</v>
      </c>
      <c r="M14" s="197">
        <f t="shared" si="7"/>
        <v>112</v>
      </c>
      <c r="N14" s="197">
        <f t="shared" si="7"/>
        <v>113</v>
      </c>
      <c r="O14" s="197">
        <f t="shared" si="7"/>
        <v>145</v>
      </c>
      <c r="P14" s="197">
        <f t="shared" si="7"/>
        <v>62</v>
      </c>
      <c r="Q14" s="197">
        <f t="shared" si="7"/>
        <v>65</v>
      </c>
      <c r="R14" s="197">
        <f t="shared" si="7"/>
        <v>683</v>
      </c>
      <c r="S14" s="197">
        <f t="shared" si="7"/>
        <v>824</v>
      </c>
      <c r="T14" s="197">
        <f t="shared" si="7"/>
        <v>349</v>
      </c>
      <c r="U14" s="197">
        <f t="shared" si="7"/>
        <v>378</v>
      </c>
      <c r="V14" s="197">
        <f t="shared" si="7"/>
        <v>795</v>
      </c>
      <c r="W14" s="197">
        <f t="shared" si="7"/>
        <v>92</v>
      </c>
      <c r="X14" s="197">
        <f t="shared" si="7"/>
        <v>198</v>
      </c>
      <c r="Y14" s="197">
        <f t="shared" si="7"/>
        <v>52</v>
      </c>
      <c r="Z14" s="197">
        <f t="shared" si="7"/>
        <v>74</v>
      </c>
      <c r="AA14" s="197">
        <f t="shared" si="7"/>
        <v>66</v>
      </c>
      <c r="AB14" s="197">
        <f t="shared" si="7"/>
        <v>60</v>
      </c>
      <c r="AC14" s="197">
        <f t="shared" si="7"/>
        <v>0</v>
      </c>
      <c r="AD14" s="197">
        <f t="shared" si="7"/>
        <v>0</v>
      </c>
      <c r="AE14" s="197">
        <f t="shared" si="7"/>
        <v>0</v>
      </c>
      <c r="AF14" s="197">
        <f>SUBTOTAL(9,AF9:AF13)</f>
        <v>0</v>
      </c>
      <c r="AG14" s="197">
        <f t="shared" ref="AG14:AT14" si="8">SUBTOTAL(9,AG8:AG13)</f>
        <v>62</v>
      </c>
      <c r="AH14" s="197">
        <f t="shared" si="8"/>
        <v>46</v>
      </c>
      <c r="AI14" s="197">
        <f t="shared" si="8"/>
        <v>71</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886</v>
      </c>
      <c r="AZ14" s="197">
        <f>SUBTOTAL(9,AZ8:AZ13)</f>
        <v>395</v>
      </c>
      <c r="BA14" s="197">
        <f>SUBTOTAL(9,BA8:BA13)</f>
        <v>449</v>
      </c>
      <c r="BB14" s="197">
        <f>SUBTOTAL(9,BB8:BB13)</f>
        <v>832</v>
      </c>
      <c r="BC14" s="197">
        <f>SUBTOTAL(9,BC8:BC13)</f>
        <v>200</v>
      </c>
      <c r="BD14" s="219">
        <f>IF(ISNUMBER(BA14/AZ14),BA14/AZ14," - ")</f>
        <v>1.1367088607594937</v>
      </c>
      <c r="BE14" s="220">
        <f>IF(ISNUMBER(BB14/BA14),BB14/BA14, " - ")</f>
        <v>1.8530066815144766</v>
      </c>
      <c r="BF14" s="220">
        <f>IF(ISNUMBER(BC14/BA14),BC14/BA14, " - ")</f>
        <v>0.44543429844097998</v>
      </c>
      <c r="BG14" s="221">
        <f>IF(ISNUMBER((AY14+AZ14)/BA14),(AY14+AZ14)/BA14," - ")</f>
        <v>2.8530066815144766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652</v>
      </c>
      <c r="J17" s="196">
        <v>251</v>
      </c>
      <c r="K17" s="196">
        <v>251</v>
      </c>
      <c r="L17" s="196">
        <v>652</v>
      </c>
      <c r="M17" s="196">
        <v>32</v>
      </c>
      <c r="N17" s="196">
        <v>154</v>
      </c>
      <c r="O17" s="194">
        <v>3</v>
      </c>
      <c r="P17" s="196">
        <v>3</v>
      </c>
      <c r="Q17" s="196">
        <v>3</v>
      </c>
      <c r="R17" s="196">
        <v>45</v>
      </c>
      <c r="S17" s="196">
        <v>524</v>
      </c>
      <c r="T17" s="196">
        <v>280</v>
      </c>
      <c r="U17" s="196">
        <v>264</v>
      </c>
      <c r="V17" s="196">
        <v>541</v>
      </c>
      <c r="W17" s="196">
        <v>34</v>
      </c>
      <c r="X17" s="202">
        <v>175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524</v>
      </c>
      <c r="AZ17" s="137">
        <f t="shared" si="10"/>
        <v>280</v>
      </c>
      <c r="BA17" s="137">
        <f t="shared" si="10"/>
        <v>264</v>
      </c>
      <c r="BB17" s="137">
        <f t="shared" si="10"/>
        <v>541</v>
      </c>
      <c r="BC17" s="135">
        <f>IF(ISNUMBER(W17),W17," - ")</f>
        <v>34</v>
      </c>
      <c r="BD17" s="136">
        <f t="shared" ref="BD17:BD22" si="12">IF(ISNUMBER(BA17/AZ17),BA17/AZ17," - ")</f>
        <v>0.94285714285714284</v>
      </c>
      <c r="BE17" s="137">
        <f t="shared" ref="BE17:BE22" si="13">IF(ISNUMBER(BB17/BA17),BB17/BA17, " - ")</f>
        <v>2.0492424242424243</v>
      </c>
      <c r="BF17" s="137">
        <f t="shared" ref="BF17:BF22" si="14">IF(ISNUMBER(BC17/BA17),BC17/BA17, " - ")</f>
        <v>0.12878787878787878</v>
      </c>
      <c r="BG17" s="209">
        <f t="shared" si="11"/>
        <v>3.0454545454545454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108</v>
      </c>
      <c r="J18" s="196">
        <v>35</v>
      </c>
      <c r="K18" s="196">
        <v>38</v>
      </c>
      <c r="L18" s="196">
        <v>105</v>
      </c>
      <c r="M18" s="196">
        <v>3</v>
      </c>
      <c r="N18" s="196">
        <v>23</v>
      </c>
      <c r="O18" s="196">
        <v>0</v>
      </c>
      <c r="P18" s="196">
        <v>0</v>
      </c>
      <c r="Q18" s="196">
        <v>0</v>
      </c>
      <c r="R18" s="196">
        <v>3</v>
      </c>
      <c r="S18" s="196">
        <v>76</v>
      </c>
      <c r="T18" s="196">
        <v>30</v>
      </c>
      <c r="U18" s="196">
        <v>28</v>
      </c>
      <c r="V18" s="196">
        <v>78</v>
      </c>
      <c r="W18" s="196">
        <v>0</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30</v>
      </c>
      <c r="BA18" s="139">
        <f t="shared" si="15"/>
        <v>28</v>
      </c>
      <c r="BB18" s="139">
        <f t="shared" si="15"/>
        <v>78</v>
      </c>
      <c r="BC18" s="135">
        <f>IF(ISNUMBER(W18),W18," - ")</f>
        <v>0</v>
      </c>
      <c r="BD18" s="136">
        <f>IF(ISNUMBER(BA18/AZ18),BA18/AZ18," - ")</f>
        <v>0.93333333333333335</v>
      </c>
      <c r="BE18" s="137">
        <f>IF(ISNUMBER(BB18/BA18),BB18/BA18, " - ")</f>
        <v>2.7857142857142856</v>
      </c>
      <c r="BF18" s="137">
        <f>IF(ISNUMBER(BC18/BA18),BC18/BA18, " - ")</f>
        <v>0</v>
      </c>
      <c r="BG18" s="209">
        <f>IF(ISNUMBER((AY18+AZ18)/BA18),(AY18+AZ18)/BA18," - ")</f>
        <v>3.7857142857142856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760</v>
      </c>
      <c r="J23" s="197">
        <f t="shared" si="21"/>
        <v>286</v>
      </c>
      <c r="K23" s="197">
        <f t="shared" si="21"/>
        <v>289</v>
      </c>
      <c r="L23" s="197">
        <f t="shared" si="21"/>
        <v>757</v>
      </c>
      <c r="M23" s="197">
        <f t="shared" si="21"/>
        <v>35</v>
      </c>
      <c r="N23" s="197">
        <f t="shared" si="21"/>
        <v>177</v>
      </c>
      <c r="O23" s="197">
        <f t="shared" si="21"/>
        <v>3</v>
      </c>
      <c r="P23" s="197">
        <f t="shared" si="21"/>
        <v>3</v>
      </c>
      <c r="Q23" s="197">
        <f t="shared" si="21"/>
        <v>3</v>
      </c>
      <c r="R23" s="197">
        <f t="shared" si="21"/>
        <v>48</v>
      </c>
      <c r="S23" s="197">
        <f t="shared" si="21"/>
        <v>600</v>
      </c>
      <c r="T23" s="197">
        <f t="shared" si="21"/>
        <v>310</v>
      </c>
      <c r="U23" s="197">
        <f t="shared" si="21"/>
        <v>292</v>
      </c>
      <c r="V23" s="197">
        <f t="shared" si="21"/>
        <v>619</v>
      </c>
      <c r="W23" s="197">
        <f t="shared" si="21"/>
        <v>34</v>
      </c>
      <c r="X23" s="197">
        <f t="shared" si="21"/>
        <v>194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600</v>
      </c>
      <c r="AZ23" s="197">
        <f>SUBTOTAL(9,AZ15:AZ22)</f>
        <v>310</v>
      </c>
      <c r="BA23" s="197">
        <f>SUBTOTAL(9,BA15:BA22)</f>
        <v>292</v>
      </c>
      <c r="BB23" s="197">
        <f>SUBTOTAL(9,BB15:BB22)</f>
        <v>619</v>
      </c>
      <c r="BC23" s="197">
        <f>SUBTOTAL(9,BC15:BC22)</f>
        <v>34</v>
      </c>
      <c r="BD23" s="219">
        <f>IF(ISNUMBER(BA23/AZ23),BA23/AZ23," - ")</f>
        <v>0.9419354838709677</v>
      </c>
      <c r="BE23" s="220">
        <f>IF(ISNUMBER(BB23/BA23),BB23/BA23, " - ")</f>
        <v>2.1198630136986303</v>
      </c>
      <c r="BF23" s="220">
        <f>IF(ISNUMBER(BC23/BA23),BC23/BA23, " - ")</f>
        <v>0.11643835616438356</v>
      </c>
      <c r="BG23" s="221">
        <f>IF(ISNUMBER((AY23+AZ23)/BA23),(AY23+AZ23)/BA23," - ")</f>
        <v>3.1164383561643834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1610</v>
      </c>
      <c r="J31" s="144">
        <f t="shared" si="36"/>
        <v>557</v>
      </c>
      <c r="K31" s="144">
        <f t="shared" si="36"/>
        <v>586</v>
      </c>
      <c r="L31" s="144">
        <f t="shared" si="36"/>
        <v>1581</v>
      </c>
      <c r="M31" s="144">
        <f t="shared" si="36"/>
        <v>147</v>
      </c>
      <c r="N31" s="144">
        <f t="shared" si="36"/>
        <v>290</v>
      </c>
      <c r="O31" s="144">
        <f t="shared" si="36"/>
        <v>148</v>
      </c>
      <c r="P31" s="144">
        <f t="shared" si="36"/>
        <v>65</v>
      </c>
      <c r="Q31" s="144">
        <f t="shared" si="36"/>
        <v>68</v>
      </c>
      <c r="R31" s="144">
        <f t="shared" si="36"/>
        <v>731</v>
      </c>
      <c r="S31" s="144">
        <f t="shared" si="36"/>
        <v>1424</v>
      </c>
      <c r="T31" s="144">
        <f t="shared" si="36"/>
        <v>659</v>
      </c>
      <c r="U31" s="144">
        <f t="shared" si="36"/>
        <v>670</v>
      </c>
      <c r="V31" s="144">
        <f t="shared" si="36"/>
        <v>1414</v>
      </c>
      <c r="W31" s="144">
        <f t="shared" si="36"/>
        <v>126</v>
      </c>
      <c r="X31" s="144">
        <f t="shared" si="36"/>
        <v>392</v>
      </c>
      <c r="Y31" s="144">
        <f t="shared" si="36"/>
        <v>52</v>
      </c>
      <c r="Z31" s="144">
        <f t="shared" si="36"/>
        <v>74</v>
      </c>
      <c r="AA31" s="144">
        <f t="shared" si="36"/>
        <v>66</v>
      </c>
      <c r="AB31" s="144">
        <f t="shared" si="36"/>
        <v>60</v>
      </c>
      <c r="AC31" s="144">
        <f t="shared" si="36"/>
        <v>0</v>
      </c>
      <c r="AD31" s="144">
        <f t="shared" si="36"/>
        <v>0</v>
      </c>
      <c r="AE31" s="144">
        <f t="shared" si="36"/>
        <v>0</v>
      </c>
      <c r="AF31" s="144">
        <f t="shared" si="36"/>
        <v>0</v>
      </c>
      <c r="AG31" s="144">
        <f t="shared" si="36"/>
        <v>62</v>
      </c>
      <c r="AH31" s="144">
        <f t="shared" si="36"/>
        <v>46</v>
      </c>
      <c r="AI31" s="144">
        <f t="shared" si="36"/>
        <v>71</v>
      </c>
      <c r="AJ31" s="144">
        <f t="shared" si="36"/>
        <v>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1486</v>
      </c>
      <c r="AZ31" s="144">
        <f>SUBTOTAL(9,AZ9:AZ30)</f>
        <v>705</v>
      </c>
      <c r="BA31" s="144">
        <f>SUBTOTAL(9,BA9:BA30)</f>
        <v>741</v>
      </c>
      <c r="BB31" s="144">
        <f>SUBTOTAL(9,BB9:BB30)</f>
        <v>1451</v>
      </c>
      <c r="BC31" s="145">
        <f>SUBTOTAL(9,BC9:BC30)</f>
        <v>234</v>
      </c>
      <c r="BD31" s="227">
        <f>IF(ISNUMBER(BA31/AZ31),BA31/AZ31," - ")</f>
        <v>1.0510638297872341</v>
      </c>
      <c r="BE31" s="224">
        <f>IF(ISNUMBER(BB31/BA31),BB31/BA31, " - ")</f>
        <v>1.9581646423751686</v>
      </c>
      <c r="BF31" s="224">
        <f>IF(ISNUMBER(BC31/BA31),BC31/BA31, " - ")</f>
        <v>0.31578947368421051</v>
      </c>
      <c r="BG31" s="145">
        <f>IF(ISNUMBER((AY31+AZ31)/BA31),(AY31+AZ31)/BA31," - ")</f>
        <v>2.9568151147098516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yqnxMAy/deiS0l5PtBhhSziUmdJKtFh/7ihZm+9xPBSe1D6iq/CiqFZvcs2LZEjusIMXLxD2kaxsZ4R/F5A==" saltValue="oidOMexCg6OZCiobNzPU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34TqOaUc5be/hRlTisOIDZ5KBPA4x+8qzABHwNyhw97sH26IHWLduZYUfmb36dla9waWG7TdsySlzAlgkcCQ==" saltValue="vgLDDdUuOQ0iE2g+uo3T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MONFORTE DE LEMOS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74</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683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1.064516129032258</v>
      </c>
      <c r="BH12" s="764">
        <f>IF(ISNUMBER(((IF(J_V="SI",Datos!L12/Datos!K12,(Datos!L12+Datos!AB12)/(Datos!K12+Datos!AA12)))*11)/factor_trimestre),((IF(J_V="SI",Datos!L12/Datos!K12,(Datos!L12+Datos!AB12)/(Datos!K12+Datos!AA12)))*11)/factor_trimestre," - ")</f>
        <v>7.0743801652892557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-4.3731778425655978E-3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74</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65</v>
      </c>
      <c r="AD14" s="1198">
        <f t="shared" si="2"/>
        <v>0</v>
      </c>
      <c r="AE14" s="1198">
        <f t="shared" si="2"/>
        <v>0</v>
      </c>
      <c r="AF14" s="1198">
        <f t="shared" si="2"/>
        <v>28</v>
      </c>
      <c r="AG14" s="1198">
        <f t="shared" si="2"/>
        <v>0</v>
      </c>
      <c r="AH14" s="1198">
        <f t="shared" si="2"/>
        <v>60</v>
      </c>
      <c r="AI14" s="1198">
        <f t="shared" si="2"/>
        <v>0</v>
      </c>
      <c r="AJ14" s="1198">
        <f t="shared" si="2"/>
        <v>0</v>
      </c>
      <c r="AK14" s="1198">
        <f t="shared" si="2"/>
        <v>0</v>
      </c>
      <c r="AL14" s="1198">
        <f t="shared" si="2"/>
        <v>0</v>
      </c>
      <c r="AM14" s="1198">
        <f t="shared" si="2"/>
        <v>683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113</v>
      </c>
      <c r="BE14" s="1198">
        <f t="shared" si="2"/>
        <v>0</v>
      </c>
      <c r="BF14" s="1198">
        <f t="shared" si="2"/>
        <v>0</v>
      </c>
      <c r="BG14" s="1198">
        <f>IF(ISNUMBER(Datos!K14/Datos!J14),Datos!K14/Datos!J14," - ")</f>
        <v>1.0959409594095941</v>
      </c>
      <c r="BH14" s="1202">
        <f>IF(ISNUMBER(((Datos!L14/Datos!K14)*11)/factor_trimestre),((Datos!L14/Datos!K14)*11)/factor_trimestre," - ")</f>
        <v>8.3232323232323235</v>
      </c>
      <c r="BI14" s="1198">
        <f>IF(ISNUMBER('Resol  Asuntos'!D14/NºAsuntos!G14),'Resol  Asuntos'!D14/NºAsuntos!G14," - ")</f>
        <v>0.30853994490358128</v>
      </c>
      <c r="BJ14" s="1198" t="str">
        <f>IF(ISNUMBER(Datos!CI14/Datos!CJ14),Datos!CI14/Datos!CJ14," - ")</f>
        <v xml:space="preserve"> - </v>
      </c>
      <c r="BK14" s="1198">
        <f>SUBTOTAL(9,BK8:BK13)</f>
        <v>0</v>
      </c>
      <c r="BL14" s="1198">
        <f>IF(ISNUMBER((I14-AB14+L14)/(F14)),(I14-AB14+L14)/(F14)," - ")</f>
        <v>0</v>
      </c>
      <c r="BM14" s="1203">
        <f>SUBTOTAL(9,BM9:BM13)</f>
        <v>-4.3731778425655978E-3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652</v>
      </c>
      <c r="G17" s="743">
        <f>IF(ISNUMBER(IF(D_I="SI",Datos!I17,Datos!I17+Datos!AC17)),IF(D_I="SI",Datos!I17,Datos!I17+Datos!AC17)," - ")</f>
        <v>652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251</v>
      </c>
      <c r="AC17" s="240">
        <f>IF(ISNUMBER(Datos!Q17),Datos!Q17," - ")</f>
        <v>3</v>
      </c>
      <c r="AD17" s="374"/>
      <c r="AE17" s="562"/>
      <c r="AF17" s="741">
        <f>IF(ISNUMBER(IF(D_I="SI",Datos!L17,Datos!L17+Datos!AF17)),IF(D_I="SI",Datos!L17,Datos!L17+Datos!AF17)," - ")</f>
        <v>652</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7.7928286852589643</v>
      </c>
      <c r="BI17" s="266">
        <f>IF(ISNUMBER('Resol  Asuntos'!D17/NºAsuntos!G17),'Resol  Asuntos'!D17/NºAsuntos!G17," - ")</f>
        <v>0.12749003984063745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105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1.0857142857142856</v>
      </c>
      <c r="BH18" s="764">
        <f>IF(ISNUMBER(((IF(D_I="SI",Datos!L18/Datos!K18,(Datos!L18+Datos!AF18)/(Datos!K18+Datos!AE18)))*11)/factor_trimestre),((IF(D_I="SI",Datos!L18/Datos!K18,(Datos!L18+Datos!AF18)/(Datos!K18+Datos!AE18)))*11)/factor_trimestre," - ")</f>
        <v>8.2894736842105274</v>
      </c>
      <c r="BI18" s="763">
        <f>IF(ISNUMBER('Resol  Asuntos'!D18/NºAsuntos!G18),'Resol  Asuntos'!D18/NºAsuntos!G18," - ")</f>
        <v>7.8947368421052627E-2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652</v>
      </c>
      <c r="G23" s="1197">
        <f>SUBTOTAL(9,G16:G22)</f>
        <v>760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v>
      </c>
      <c r="AC23" s="1198">
        <f t="shared" si="5"/>
        <v>3</v>
      </c>
      <c r="AD23" s="1198">
        <f t="shared" si="5"/>
        <v>0</v>
      </c>
      <c r="AE23" s="1198">
        <f t="shared" si="5"/>
        <v>0</v>
      </c>
      <c r="AF23" s="1198">
        <f t="shared" si="5"/>
        <v>757</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177</v>
      </c>
      <c r="BE23" s="1198">
        <f t="shared" si="5"/>
        <v>0</v>
      </c>
      <c r="BF23" s="1198">
        <f t="shared" si="5"/>
        <v>0</v>
      </c>
      <c r="BG23" s="1198">
        <f>IF(ISNUMBER(Datos!K23/Datos!J23),Datos!K23/Datos!J23," - ")</f>
        <v>1.0104895104895104</v>
      </c>
      <c r="BH23" s="1202">
        <f>IF(ISNUMBER(((Datos!L23/Datos!K23)*11)/factor_trimestre),((Datos!L23/Datos!K23)*11)/factor_trimestre," - ")</f>
        <v>7.8581314878892741</v>
      </c>
      <c r="BI23" s="1198">
        <f>SUBTOTAL(9,BI16:BI22)</f>
        <v>0.20643740826169008</v>
      </c>
      <c r="BJ23" s="1198">
        <f>SUBTOTAL(9,BJ16:BJ22)</f>
        <v>0</v>
      </c>
      <c r="BK23" s="1198">
        <f>SUBTOTAL(9,BK16:BK22)</f>
        <v>0</v>
      </c>
      <c r="BL23" s="1198">
        <f>IF(ISNUMBER((I23-AB23+L23)/(F23)),(I23-AB23+L23)/(F23)," - ")</f>
        <v>-0.44325153374233128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676</v>
      </c>
      <c r="G31" s="1117">
        <f t="shared" si="18"/>
        <v>784</v>
      </c>
      <c r="H31" s="1119">
        <f t="shared" si="18"/>
        <v>0</v>
      </c>
      <c r="I31" s="1117">
        <f t="shared" si="18"/>
        <v>0</v>
      </c>
      <c r="J31" s="1119">
        <f t="shared" si="18"/>
        <v>0</v>
      </c>
      <c r="K31" s="1119">
        <f t="shared" si="18"/>
        <v>0</v>
      </c>
      <c r="L31" s="1180">
        <f t="shared" si="18"/>
        <v>0</v>
      </c>
      <c r="M31" s="1180">
        <f t="shared" si="18"/>
        <v>0</v>
      </c>
      <c r="N31" s="1180">
        <f t="shared" si="18"/>
        <v>74</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289</v>
      </c>
      <c r="AC31" s="1118">
        <f t="shared" si="19"/>
        <v>68</v>
      </c>
      <c r="AD31" s="1118">
        <f t="shared" si="19"/>
        <v>0</v>
      </c>
      <c r="AE31" s="1118">
        <f t="shared" si="19"/>
        <v>0</v>
      </c>
      <c r="AF31" s="1125">
        <f t="shared" si="19"/>
        <v>785</v>
      </c>
      <c r="AG31" s="1125">
        <f t="shared" si="19"/>
        <v>0</v>
      </c>
      <c r="AH31" s="1125">
        <f t="shared" si="19"/>
        <v>60</v>
      </c>
      <c r="AI31" s="1125">
        <f t="shared" si="19"/>
        <v>0</v>
      </c>
      <c r="AJ31" s="1118">
        <f t="shared" si="19"/>
        <v>0</v>
      </c>
      <c r="AK31" s="1125">
        <f t="shared" si="19"/>
        <v>0</v>
      </c>
      <c r="AL31" s="1125">
        <f t="shared" si="19"/>
        <v>0</v>
      </c>
      <c r="AM31" s="1125">
        <f t="shared" si="19"/>
        <v>731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v>
      </c>
      <c r="BD31" s="1117">
        <f t="shared" si="19"/>
        <v>290</v>
      </c>
      <c r="BE31" s="1117">
        <f t="shared" si="19"/>
        <v>0</v>
      </c>
      <c r="BF31" s="1127">
        <f t="shared" si="19"/>
        <v>0</v>
      </c>
      <c r="BG31" s="1223">
        <f>IF(ISNUMBER(Datos!K31/Datos!J31),Datos!K31/Datos!J31," - ")</f>
        <v>1.052064631956912</v>
      </c>
      <c r="BH31" s="1223">
        <f>IF(ISNUMBER(((Datos!L31/Datos!K31)*11)/factor_trimestre),((Datos!L31/Datos!K31)*11)/factor_trimestre," - ")</f>
        <v>8.0938566552901019</v>
      </c>
      <c r="BI31" s="1103">
        <f>IF(ISNUMBER(Datos!J31/Datos!I31),Datos!J31/Datos!I31," - ")</f>
        <v>0.34596273291925467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-0.4275147928994083</v>
      </c>
      <c r="BM31" s="1188">
        <f>IF(ISNUMBER((Datos!P31-Datos!Q31+R31)/(Datos!R31-Datos!P31+Datos!Q31-R31)),(Datos!P31-Datos!Q31+R31)/(Datos!R31-Datos!P31+Datos!Q31-R31)," - ")</f>
        <v>-4.0871934604904629E-3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330.66881719730793</v>
      </c>
      <c r="G33" s="674">
        <f>IF(ISNUMBER(STDEV(G8:G30)),STDEV(G8:G30),"-")</f>
        <v>332.73813527557473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129.25408716020956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48.611433105509533</v>
      </c>
      <c r="BD33" s="673"/>
      <c r="BE33" s="673">
        <f>IF(ISNUMBER(STDEV(BE8:BE30)),STDEV(BE8:BE30),"-")</f>
        <v>0</v>
      </c>
      <c r="BF33" s="678">
        <f>IF(ISNUMBER(STDEV(BF8:BF30)),STDEV(BF8:BF30),"-")</f>
        <v>0</v>
      </c>
      <c r="BG33" s="1052">
        <f>IF(ISNUMBER(STDEV(BG8:BG30)),STDEV(BG8:BG30),"-")</f>
        <v>0.43098301446830356</v>
      </c>
      <c r="BH33" s="1058">
        <f>IF(ISNUMBER(STDEV(BH8:BH30)),STDEV(BH8:BH30),"-")</f>
        <v>0.50508819214620693</v>
      </c>
      <c r="BI33" s="273">
        <f>IF(ISNUMBER(STDEV(BI8:BI30)),STDEV(BI8:BI30),"-")</f>
        <v>0.10031597391726051</v>
      </c>
      <c r="BJ33" s="244" t="str">
        <f>IF(ISNUMBER(BL33/BM33),BL33/BM33," - ")</f>
        <v xml:space="preserve"> - </v>
      </c>
      <c r="BK33" s="709"/>
      <c r="BL33" s="681">
        <f>IF(ISNUMBER(STDEV(BL8:BL30)),STDEV(BL8:BL30),"-")</f>
        <v>0.31342616528054024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VZ3vFRh4yQ392hGV1yIGkJoi2Y66Lc870aXA/OjdXUz3GutOiEfMf7DVhkRgbGELSBh0ffu3pHkKJvfhHTo9g==" saltValue="RkQpW+/+BTNhyoZCotZC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MONFORTE DE LEMOS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683</v>
      </c>
      <c r="AF12" s="693" t="str">
        <f>IF(ISNUMBER(Datos!BV12),Datos!BV12," - ")</f>
        <v xml:space="preserve"> - </v>
      </c>
      <c r="AG12" s="552" t="str">
        <f>IF(ISNUMBER(Datos!DV12),Datos!DV12," - ")</f>
        <v xml:space="preserve"> - </v>
      </c>
      <c r="AH12" s="553"/>
      <c r="AI12" s="554"/>
      <c r="AJ12" s="552">
        <f>IF(ISNUMBER(Datos!M12),Datos!M12," - ")</f>
        <v>112</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7.0743801652892557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-4.3731778425655978E-3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65</v>
      </c>
      <c r="AA14" s="1199">
        <f t="shared" si="3"/>
        <v>28</v>
      </c>
      <c r="AB14" s="1199">
        <f t="shared" si="3"/>
        <v>0</v>
      </c>
      <c r="AC14" s="1199">
        <f t="shared" si="3"/>
        <v>0</v>
      </c>
      <c r="AD14" s="1199">
        <f t="shared" si="3"/>
        <v>0</v>
      </c>
      <c r="AE14" s="1199">
        <f t="shared" si="3"/>
        <v>683</v>
      </c>
      <c r="AF14" s="1211">
        <f t="shared" si="3"/>
        <v>0</v>
      </c>
      <c r="AG14" s="1211">
        <f t="shared" si="3"/>
        <v>0</v>
      </c>
      <c r="AH14" s="1211">
        <f t="shared" si="3"/>
        <v>0</v>
      </c>
      <c r="AI14" s="1211">
        <f t="shared" si="3"/>
        <v>0</v>
      </c>
      <c r="AJ14" s="1211">
        <f t="shared" si="3"/>
        <v>112</v>
      </c>
      <c r="AK14" s="1211">
        <f t="shared" si="3"/>
        <v>113</v>
      </c>
      <c r="AL14" s="1211">
        <f t="shared" si="3"/>
        <v>0</v>
      </c>
      <c r="AM14" s="1211">
        <f t="shared" si="3"/>
        <v>0</v>
      </c>
      <c r="AN14" s="1211">
        <f t="shared" si="3"/>
        <v>0</v>
      </c>
      <c r="AO14" s="1203">
        <f>IF(ISNUMBER(((NºAsuntos!I14/NºAsuntos!G14)*11)/factor_trimestre),((NºAsuntos!I14/NºAsuntos!G14)*11)/factor_trimestre," - ")</f>
        <v>7.3057851239669427</v>
      </c>
      <c r="AP14" s="1213" t="str">
        <f>IF(ISNUMBER(Datos!CI14/Datos!CJ14),Datos!CI14/Datos!CJ14," - ")</f>
        <v xml:space="preserve"> - </v>
      </c>
      <c r="AQ14" s="1236">
        <f t="shared" ref="AQ14:AV14" si="4">SUBTOTAL(9,AQ9:AQ13)</f>
        <v>0</v>
      </c>
      <c r="AR14" s="1236">
        <f t="shared" si="4"/>
        <v>-4.3731778425655978E-3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652</v>
      </c>
      <c r="G17" s="552">
        <f>IF(ISNUMBER(IF(D_I="SI",Datos!I17,Datos!I17+Datos!AC17)),IF(D_I="SI",Datos!I17,Datos!I17+Datos!AC17)," - ")</f>
        <v>652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251</v>
      </c>
      <c r="Z17" s="805">
        <f>IF(ISNUMBER(Datos!Q17),Datos!Q17," - ")</f>
        <v>3</v>
      </c>
      <c r="AA17" s="551">
        <f>IF(ISNUMBER(IF(D_I="SI",Datos!L17,Datos!L17+Datos!AF17)),IF(D_I="SI",Datos!L17,Datos!L17+Datos!AF17)," - ")</f>
        <v>652</v>
      </c>
      <c r="AB17" s="549"/>
      <c r="AC17" s="549"/>
      <c r="AD17" s="563"/>
      <c r="AE17" s="563">
        <f>IF(ISNUMBER(Datos!R17),Datos!R17," - ")</f>
        <v>45</v>
      </c>
      <c r="AF17" s="693" t="str">
        <f>IF(ISNUMBER(Datos!BV17),Datos!BV17," - ")</f>
        <v xml:space="preserve"> - </v>
      </c>
      <c r="AG17" s="552"/>
      <c r="AH17" s="553"/>
      <c r="AI17" s="554"/>
      <c r="AJ17" s="552">
        <f>IF(ISNUMBER(Datos!M17),Datos!M17," - ")</f>
        <v>32</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7.7928286852589643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105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8.2894736842105274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652</v>
      </c>
      <c r="G23" s="1197">
        <f>SUBTOTAL(9,G16:G22)</f>
        <v>760</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v>
      </c>
      <c r="Z23" s="1240">
        <f t="shared" si="6"/>
        <v>3</v>
      </c>
      <c r="AA23" s="1240">
        <f t="shared" si="6"/>
        <v>757</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35</v>
      </c>
      <c r="AK23" s="1240">
        <f t="shared" si="6"/>
        <v>177</v>
      </c>
      <c r="AL23" s="1240">
        <f t="shared" si="6"/>
        <v>0</v>
      </c>
      <c r="AM23" s="1240">
        <f t="shared" si="6"/>
        <v>0</v>
      </c>
      <c r="AN23" s="1240">
        <f t="shared" si="6"/>
        <v>0</v>
      </c>
      <c r="AO23" s="1242">
        <f>IF(ISNUMBER(((NºAsuntos!I23/NºAsuntos!G23)*11)/factor_trimestre),((NºAsuntos!I23/NºAsuntos!G23)*11)/factor_trimestre," - ")</f>
        <v>7.8581314878892741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676</v>
      </c>
      <c r="G31" s="1117">
        <f t="shared" si="12"/>
        <v>784</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289</v>
      </c>
      <c r="Z31" s="1124">
        <f t="shared" si="13"/>
        <v>68</v>
      </c>
      <c r="AA31" s="1125">
        <f t="shared" si="13"/>
        <v>785</v>
      </c>
      <c r="AB31" s="1125">
        <f t="shared" si="13"/>
        <v>0</v>
      </c>
      <c r="AC31" s="1125">
        <f t="shared" si="13"/>
        <v>0</v>
      </c>
      <c r="AD31" s="1126">
        <f t="shared" si="13"/>
        <v>0</v>
      </c>
      <c r="AE31" s="1126">
        <f t="shared" si="13"/>
        <v>731</v>
      </c>
      <c r="AF31" s="1127">
        <f t="shared" si="13"/>
        <v>0</v>
      </c>
      <c r="AG31" s="1128">
        <f t="shared" si="13"/>
        <v>0</v>
      </c>
      <c r="AH31" s="1129">
        <f t="shared" si="13"/>
        <v>0</v>
      </c>
      <c r="AI31" s="1127">
        <f t="shared" si="13"/>
        <v>0</v>
      </c>
      <c r="AJ31" s="1117">
        <f t="shared" si="13"/>
        <v>147</v>
      </c>
      <c r="AK31" s="1117">
        <f t="shared" si="13"/>
        <v>290</v>
      </c>
      <c r="AL31" s="1117">
        <f t="shared" si="13"/>
        <v>0</v>
      </c>
      <c r="AM31" s="1130">
        <f t="shared" si="13"/>
        <v>0</v>
      </c>
      <c r="AN31" s="1120">
        <f>IF(ISNUMBER(Datos!K31/Datos!J31),Datos!K31/Datos!J31," - ")</f>
        <v>1.052064631956912</v>
      </c>
      <c r="AO31" s="1120">
        <f>IF(ISNUMBER(FIND("06",Criterios!A8,1)),(IF(ISNUMBER(((Datos!R31/Datos!Q31)*11)/factor_trimestre),((Datos!R31/Datos!Q31)*11)/factor_trimestre," - ")),(IF(ISNUMBER(((Datos!L31/Datos!K31)*11)/factor_trimestre),((Datos!L31/Datos!K31)*11)/factor_trimestre," - ")))</f>
        <v>8.0938566552901019</v>
      </c>
      <c r="AP31" s="1131" t="str">
        <f>IF(ISNUMBER(Datos!CI31/Datos!CJ31),Datos!CI31/Datos!CJ31," - ")</f>
        <v xml:space="preserve"> - </v>
      </c>
      <c r="AQ31" s="1131">
        <f>IF(OR(ISNUMBER(FIND("01",Criterios!A8,1)),ISNUMBER(FIND("02",Criterios!A8,1)),ISNUMBER(FIND("03",Criterios!A8,1)),ISNUMBER(FIND("04",Criterios!A8,1))),(J31-Y31+K31)/(F31-K31),(I31-Y31+K31)/(F31-K31))</f>
        <v>-0.4275147928994083</v>
      </c>
      <c r="AR31" s="1131">
        <f>IF(ISNUMBER((Datos!P31-Datos!Q31+O31)/(Datos!R31-Datos!P31+Datos!Q31-O31)),(Datos!P31-Datos!Q31+O31)/(Datos!R31-Datos!P31+Datos!Q31-O31)," - ")</f>
        <v>-4.0871934604904629E-3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330.66881719730793</v>
      </c>
      <c r="G33" s="674">
        <f>IF(ISNUMBER(STDEV(G8:G30)),STDEV(G8:G30),"-")</f>
        <v>332.73813527557473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48.611433105509533</v>
      </c>
      <c r="AK33" s="276"/>
      <c r="AL33" s="276">
        <f>IF(ISNUMBER(STDEV(AL8:AL30)),STDEV(AL8:AL30),"-")</f>
        <v>0</v>
      </c>
      <c r="AM33" s="278">
        <f>IF(ISNUMBER(STDEV(AM8:AM30)),STDEV(AM8:AM30),"-")</f>
        <v>0</v>
      </c>
      <c r="AN33" s="660">
        <f>IF(ISNUMBER(STDEV(AN8:AN30)),STDEV(AN8:AN30),"-")</f>
        <v>0</v>
      </c>
      <c r="AO33" s="661">
        <f>IF(ISNUMBER(STDEV(AO8:AO30)),STDEV(AO8:AO30),"-")</f>
        <v>0.47996629295084825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r8N8EcBV2eACbI6C0m91qxbrj7BVT1dakal+crs9YcWsAmzQ/7bddbMODQk5YXis1uUeDaWJpoAZAU40qM/Rg==" saltValue="IHmyCy0jN4YAcB4Y1osP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gv0qZT8KJ/FSod+yAGMXu9ZEaFcFx8xIwSzwxycVDutZgaG5gFVpIeUkLei3VUvIw9x+MEqYxUoZutag3wsLQ==" saltValue="MNJH2EutDWf3txpcxnSz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eL8WDS63zMWcRJGDwUKNYA7t7Nny8sNDFzb/gWJLANioA61sSi1HGlxm64QeN2UeOvduOMRqrqplxDUPCtOcg==" saltValue="+DoZLrf1UDKbYP9o4pod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MONFORTE DE LEMOS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0.30853994490358128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0.21817068730824607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xFwwAHkszOg5IGYkr3u/qxZR7/wPD1zp50kWpt5gL8zW74jaB+hJZl8deYdBLrjoS2O8ihIT7kzdgylckJV3g==" saltValue="QQLb9NiecGwtIiwY0uTc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ogLF7w1NhjOIKvzes8sjiiftG5ivJbADcha9L0FzZtW801eQ/XwEYqqU2Pp8bT4RlYLnYa48hO4/sT65Kz94Q==" saltValue="2s6o11mdJTuZE1AC6DaM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MONFORTE DE LEMOS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4</v>
      </c>
      <c r="F10" s="452">
        <f>IF(ISNUMBER(E10/B10),E10/B10," - ")</f>
        <v>4</v>
      </c>
      <c r="G10" s="451">
        <f>IF(ISNUMBER(Datos!K10),Datos!K10," - ")</f>
        <v>0</v>
      </c>
      <c r="H10" s="452">
        <f>IF(ISNUMBER(G10/B10),G10/B10," - ")</f>
        <v>0</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878</v>
      </c>
      <c r="D12" s="452">
        <f>IF(ISNUMBER(C12/Datos!BH12),C12/Datos!BH12," - ")</f>
        <v>439</v>
      </c>
      <c r="E12" s="451">
        <f>IF(ISNUMBER(IF(J_V="SI",Datos!J12,Datos!J12+Datos!Z12)),IF(J_V="SI",Datos!J12,Datos!J12+Datos!Z12)," - ")</f>
        <v>341</v>
      </c>
      <c r="F12" s="452">
        <f>IF(ISNUMBER(E12/B12),E12/B12," - ")</f>
        <v>170.5</v>
      </c>
      <c r="G12" s="451">
        <f>IF(ISNUMBER(IF(J_V="SI",Datos!K12,Datos!K12+Datos!AA12)),IF(J_V="SI",Datos!K12,Datos!K12+Datos!AA12)," - ")</f>
        <v>363</v>
      </c>
      <c r="H12" s="452">
        <f>IF(ISNUMBER(G12/B12),G12/B12," - ")</f>
        <v>181.5</v>
      </c>
      <c r="I12" s="451">
        <f>IF(ISNUMBER(IF(J_V="SI",Datos!L12,Datos!L12+Datos!AB12)),IF(J_V="SI",Datos!L12,Datos!L12+Datos!AB12)," - ")</f>
        <v>856</v>
      </c>
      <c r="J12" s="452">
        <f>IF(ISNUMBER(I12/B12),I12/B12," - ")</f>
        <v>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902</v>
      </c>
      <c r="D14" s="1147" t="str">
        <f>IF(ISNUMBER(C14/Datos!BI14),C14/Datos!BI14," - ")</f>
        <v xml:space="preserve"> - </v>
      </c>
      <c r="E14" s="1146">
        <f>SUBTOTAL(9,E8:E13)</f>
        <v>345</v>
      </c>
      <c r="F14" s="1147">
        <f>IF(ISNUMBER(E14/B14),E14/B14," - ")</f>
        <v>172.5</v>
      </c>
      <c r="G14" s="1146">
        <f>SUBTOTAL(9,G8:G13)</f>
        <v>363</v>
      </c>
      <c r="H14" s="1147">
        <f>IF(ISNUMBER(G14/B14),G14/B14," - ")</f>
        <v>181.5</v>
      </c>
      <c r="I14" s="1146">
        <f>SUBTOTAL(9,I8:I13)</f>
        <v>884</v>
      </c>
      <c r="J14" s="1147">
        <f>IF(ISNUMBER(I14/B14),I14/B14," - ")</f>
        <v>442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652</v>
      </c>
      <c r="D17" s="452">
        <f>IF(ISNUMBER(C17/Datos!BH17),C17/Datos!BH17," - ")</f>
        <v>326</v>
      </c>
      <c r="E17" s="451">
        <f>IF(ISNUMBER(IF(D_I="SI",Datos!J17,Datos!J17+Datos!AD17)),IF(D_I="SI",Datos!J17,Datos!J17+Datos!AD17)," - ")</f>
        <v>251</v>
      </c>
      <c r="F17" s="452">
        <f>IF(ISNUMBER(E17/B17),E17/B17," - ")</f>
        <v>125.5</v>
      </c>
      <c r="G17" s="451">
        <f>IF(ISNUMBER(IF(D_I="SI",Datos!K17,Datos!K17+Datos!AE17)),IF(D_I="SI",Datos!K17,Datos!K17+Datos!AE17)," - ")</f>
        <v>251</v>
      </c>
      <c r="H17" s="452">
        <f>IF(ISNUMBER(G17/B17),G17/B17," - ")</f>
        <v>125.5</v>
      </c>
      <c r="I17" s="451">
        <f>IF(ISNUMBER(IF(D_I="SI",Datos!L17,Datos!L17+Datos!AF17)),IF(D_I="SI",Datos!L17,Datos!L17+Datos!AF17)," - ")</f>
        <v>652</v>
      </c>
      <c r="J17" s="452">
        <f>IF(ISNUMBER(I17/B17),I17/B17," - ")</f>
        <v>326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108</v>
      </c>
      <c r="D18" s="452">
        <f>IF(ISNUMBER(C18/Datos!BH18),C18/Datos!BH18," - ")</f>
        <v>108</v>
      </c>
      <c r="E18" s="451">
        <f>IF(ISNUMBER(IF(D_I="SI",Datos!J18,Datos!J18+Datos!AD18)),IF(D_I="SI",Datos!J18,Datos!J18+Datos!AD18)," - ")</f>
        <v>35</v>
      </c>
      <c r="F18" s="452">
        <f>IF(ISNUMBER(E18/B18),E18/B18," - ")</f>
        <v>35</v>
      </c>
      <c r="G18" s="451">
        <f>IF(ISNUMBER(IF(D_I="SI",Datos!K18,Datos!K18+Datos!AE18)),IF(D_I="SI",Datos!K18,Datos!K18+Datos!AE18)," - ")</f>
        <v>38</v>
      </c>
      <c r="H18" s="452">
        <f>IF(ISNUMBER(G18/B18),G18/B18," - ")</f>
        <v>38</v>
      </c>
      <c r="I18" s="451">
        <f>IF(ISNUMBER(IF(D_I="SI",Datos!L18,Datos!L18+Datos!AF18)),IF(D_I="SI",Datos!L18,Datos!L18+Datos!AF18)," - ")</f>
        <v>105</v>
      </c>
      <c r="J18" s="452">
        <f>IF(ISNUMBER(I18/B18),I18/B18," - ")</f>
        <v>105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760</v>
      </c>
      <c r="D23" s="1147" t="str">
        <f>IF(ISNUMBER(C23/Datos!BI23),C23/Datos!BI23," - ")</f>
        <v xml:space="preserve"> - </v>
      </c>
      <c r="E23" s="1146">
        <f>SUBTOTAL(9,E15:E22)</f>
        <v>286</v>
      </c>
      <c r="F23" s="1147">
        <f>IF(ISNUMBER(E23/B23),E23/B23," - ")</f>
        <v>143</v>
      </c>
      <c r="G23" s="1146">
        <f>SUBTOTAL(9,G15:G22)</f>
        <v>289</v>
      </c>
      <c r="H23" s="1147">
        <f>IF(ISNUMBER(G23/B23),G23/B23," - ")</f>
        <v>144.5</v>
      </c>
      <c r="I23" s="1146">
        <f>SUBTOTAL(9,I15:I22)</f>
        <v>757</v>
      </c>
      <c r="J23" s="1147">
        <f>IF(ISNUMBER(I23/B23),I23/B23," - ")</f>
        <v>378.5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1662</v>
      </c>
      <c r="D31" s="1085" t="str">
        <f>IF(ISNUMBER(C31/Datos!BI31),C31/Datos!BI31," - ")</f>
        <v xml:space="preserve"> - </v>
      </c>
      <c r="E31" s="1084">
        <f>SUBTOTAL(9,E9:E30)</f>
        <v>631</v>
      </c>
      <c r="F31" s="1085">
        <f>IF(ISNUMBER(E31/B31),E31/B31," - ")</f>
        <v>315.5</v>
      </c>
      <c r="G31" s="1084">
        <f>SUBTOTAL(9,G9:G30)</f>
        <v>652</v>
      </c>
      <c r="H31" s="1085">
        <f>IF(ISNUMBER(G31/B31),G31/B31," - ")</f>
        <v>326</v>
      </c>
      <c r="I31" s="1084">
        <f>SUBTOTAL(9,I9:I30)</f>
        <v>1641</v>
      </c>
      <c r="J31" s="1085">
        <f>IF(ISNUMBER(I31/B31),I31/B31," - ")</f>
        <v>820.5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TiEgk9C8pHzfzVqhF28XxHo9HOBvaCddbFa60/GUDKAcJFmo31asnlkAu9Ijp5hjHi9CzDEUQl6NcIYzEDi8g==" saltValue="YnXP1ISqqUiunfr1kdWe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MONFORTE DE LEMOS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7.0743801652892557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-4.3731778425655978E-3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65</v>
      </c>
      <c r="AE14" s="1257">
        <f t="shared" si="1"/>
        <v>0</v>
      </c>
      <c r="AF14" s="1257">
        <f t="shared" si="1"/>
        <v>28</v>
      </c>
      <c r="AG14" s="1257">
        <f t="shared" si="1"/>
        <v>0</v>
      </c>
      <c r="AH14" s="1257">
        <f t="shared" si="1"/>
        <v>683</v>
      </c>
      <c r="AI14" s="1257">
        <f t="shared" si="1"/>
        <v>0</v>
      </c>
      <c r="AJ14" s="1257">
        <f t="shared" si="1"/>
        <v>0</v>
      </c>
      <c r="AK14" s="1257">
        <f t="shared" si="1"/>
        <v>0</v>
      </c>
      <c r="AL14" s="1257">
        <f t="shared" si="1"/>
        <v>112</v>
      </c>
      <c r="AM14" s="1257">
        <f t="shared" si="1"/>
        <v>113</v>
      </c>
      <c r="AN14" s="1257">
        <f t="shared" si="1"/>
        <v>0</v>
      </c>
      <c r="AO14" s="1257">
        <f t="shared" si="1"/>
        <v>0</v>
      </c>
      <c r="AP14" s="1262">
        <f>IF(ISNUMBER(((Datos!L14/Datos!K14)*11)/factor_trimestre),((Datos!L14/Datos!K14)*11)/factor_trimestre," - ")</f>
        <v>8.3232323232323235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-4.3731778425655978E-3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7.8581314878892741</v>
      </c>
      <c r="AQ23" s="1262">
        <f>IF(ISNUMBER(((Datos!M23/Datos!L23)*11)/factor_trimestre),((Datos!M23/Datos!L23)*11)/factor_trimestre," - ")</f>
        <v>0.13870541611624837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-6.9767441860465115E-2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65</v>
      </c>
      <c r="AE31" s="1284">
        <f t="shared" si="9"/>
        <v>0</v>
      </c>
      <c r="AF31" s="1285">
        <f t="shared" si="9"/>
        <v>28</v>
      </c>
      <c r="AG31" s="1285">
        <f t="shared" si="9"/>
        <v>0</v>
      </c>
      <c r="AH31" s="1285">
        <f t="shared" si="9"/>
        <v>683</v>
      </c>
      <c r="AI31" s="1285">
        <f t="shared" si="9"/>
        <v>0</v>
      </c>
      <c r="AJ31" s="1286">
        <f t="shared" si="9"/>
        <v>0</v>
      </c>
      <c r="AK31" s="1286">
        <f t="shared" si="9"/>
        <v>0</v>
      </c>
      <c r="AL31" s="1278">
        <f t="shared" si="9"/>
        <v>112</v>
      </c>
      <c r="AM31" s="1278">
        <f t="shared" si="9"/>
        <v>113</v>
      </c>
      <c r="AN31" s="1278">
        <f t="shared" si="9"/>
        <v>0</v>
      </c>
      <c r="AO31" s="1278">
        <f t="shared" si="9"/>
        <v>0</v>
      </c>
      <c r="AP31" s="1278">
        <f>IF(ISNUMBER(((Datos!L31/Datos!K31)*11)/factor_trimestre),((Datos!L31/Datos!K31)*11)/factor_trimestre," - ")</f>
        <v>8.0938566552901019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-4.0871934604904629E-3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57.836551303364097</v>
      </c>
      <c r="AM33" s="1006"/>
      <c r="AN33" s="1006">
        <f>IF(ISNUMBER(STDEV(AN8:AN30)),STDEV(AN8:AN30),"-")</f>
        <v>0</v>
      </c>
      <c r="AO33" s="1012">
        <f>IF(ISNUMBER(STDEV(AO8:AO30)),STDEV(AO8:AO30),"-")</f>
        <v>0</v>
      </c>
      <c r="AP33" s="1065">
        <f>IF(ISNUMBER(STDEV(AP8:AP30)),STDEV(AP8:AP30),"-")</f>
        <v>0.63116514414654024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4Hiez4Rp1tY2irqpnceTHvkyFrBlS38xoJ6ceXwYoThpEvcqyJawX4dw9H6NCnyx8pM/J7piEdMGwvAFqJyWw==" saltValue="DM/f3jsFwtqK1Iblqro1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MONFORTE DE LEMOS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4sQaDqXqXx+8AMsvoXj7zECPqfn/ZRWjMD6OaQGCvb6voFG4l43xNOOJv3RKteHD/eK9aFk7MYmQmXW9vGrew==" saltValue="/887IxM/VsNzPyNwhvqi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MONFORTE DE LEMOS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112</v>
      </c>
      <c r="E12" s="452">
        <f t="shared" si="0"/>
        <v>56</v>
      </c>
      <c r="F12" s="451">
        <f>IF(ISNUMBER(Datos!N12),Datos!N12," - ")</f>
        <v>113</v>
      </c>
      <c r="G12" s="452">
        <f t="shared" si="1"/>
        <v>56.5</v>
      </c>
      <c r="H12" s="451">
        <f>IF(ISNUMBER(Datos!O12),Datos!O12," - ")</f>
        <v>145</v>
      </c>
      <c r="I12" s="452">
        <f t="shared" si="2"/>
        <v>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112</v>
      </c>
      <c r="E14" s="1147">
        <f t="shared" si="0"/>
        <v>37.333333333333336</v>
      </c>
      <c r="F14" s="1146">
        <f>SUBTOTAL(9,F9:F13)</f>
        <v>113</v>
      </c>
      <c r="G14" s="1147">
        <f t="shared" si="1"/>
        <v>37.666666666666664</v>
      </c>
      <c r="H14" s="1146">
        <f>SUBTOTAL(9,H9:H13)</f>
        <v>145</v>
      </c>
      <c r="I14" s="1147">
        <f>IF(ISNUMBER(H14/B14),H14/B14," - ")</f>
        <v>48.333333333333336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v>
      </c>
      <c r="E17" s="452">
        <f t="shared" si="3"/>
        <v>16</v>
      </c>
      <c r="F17" s="451">
        <f>IF(ISNUMBER(Datos!N17),Datos!N17," - ")</f>
        <v>154</v>
      </c>
      <c r="G17" s="452">
        <f t="shared" si="4"/>
        <v>77</v>
      </c>
      <c r="H17" s="451">
        <f>IF(ISNUMBER(Datos!O17),Datos!O17," - ")</f>
        <v>3</v>
      </c>
      <c r="I17" s="452">
        <f t="shared" si="5"/>
        <v>1.5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177</v>
      </c>
      <c r="G23" s="1147">
        <f t="shared" si="4"/>
        <v>59</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147</v>
      </c>
      <c r="E31" s="1085">
        <f>IF(ISNUMBER(D31/B31),D31/B31," - ")</f>
        <v>73.5</v>
      </c>
      <c r="F31" s="1084">
        <f>SUBTOTAL(9,F8:F30)</f>
        <v>290</v>
      </c>
      <c r="G31" s="1085">
        <f>IF(ISNUMBER(F31/B31),F31/B31," - ")</f>
        <v>145</v>
      </c>
      <c r="H31" s="1084">
        <f>SUBTOTAL(9,H8:H30)</f>
        <v>148</v>
      </c>
      <c r="I31" s="1085">
        <f>IF(ISNUMBER(H31/B31),H31/B31," - ")</f>
        <v>74</v>
      </c>
    </row>
    <row r="34" spans="1:1">
      <c r="A34" s="439" t="str">
        <f>Criterios!A4</f>
        <v>Fecha Informe: 06 may. 2023</v>
      </c>
    </row>
    <row r="39" spans="1:1">
      <c r="A39" s="462"/>
    </row>
  </sheetData>
  <sheetProtection algorithmName="SHA-512" hashValue="TT4QzDQ0WppRUyhsL2TIvab1LZI1zDGvLvd48i88XGOeK28zsafpq2aLR1uuTnehX98ieGYo9v/3G5isr+t/sQ==" saltValue="oM0H8Rr4Xq32A6Z2uQ+g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MONFORTE DE LEMOS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65</v>
      </c>
      <c r="D12" s="456">
        <f>IF(ISNUMBER(Datos!R12),Datos!R12," - ")</f>
        <v>683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65</v>
      </c>
      <c r="D14" s="1148">
        <f>SUBTOTAL(9,D9:D13)</f>
        <v>683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v>
      </c>
      <c r="D17" s="456">
        <f>IF(ISNUMBER(Datos!R17),Datos!R17," - ")</f>
        <v>45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68</v>
      </c>
      <c r="D31" s="1090">
        <f>SUBTOTAL(9,D8:D30)</f>
        <v>731</v>
      </c>
    </row>
    <row r="32" spans="1:4" ht="7.5" customHeight="1"/>
    <row r="33" spans="1:1" ht="6" customHeight="1"/>
    <row r="34" spans="1:1">
      <c r="A34" s="439" t="str">
        <f>Criterios!A4</f>
        <v>Fecha Informe: 06 may. 2023</v>
      </c>
    </row>
    <row r="39" spans="1:1">
      <c r="A39" s="462"/>
    </row>
  </sheetData>
  <sheetProtection algorithmName="SHA-512" hashValue="17sxqhCsRRBgdQCZGbwiWpbui8fHtv56reAgT3nTTUjTlRaSKZBoEFSrAByrBwn4dJtAz+PVBMLsDjO1PMcfVQ==" saltValue="7v9oS5FDovXyv19fewVP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MONFORTE DE LEMOS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3</v>
      </c>
      <c r="D10" s="515">
        <f>IF(ISNUMBER((Datos!K10-Datos!U10)/Datos!U10),(Datos!K10-Datos!U10)/Datos!U10," - ")</f>
        <v>-1</v>
      </c>
      <c r="E10" s="515">
        <f>IF(ISNUMBER((Datos!L10-Datos!V10)/Datos!V10),(Datos!L10-Datos!V10)/Datos!V10," - ")</f>
        <v>0.6470588235294118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1.1520737327188941E-2</v>
      </c>
      <c r="C12" s="515">
        <f>IF(ISNUMBER(
   IF(J_V="SI",(Datos!J12-Datos!T12)/Datos!T12,(Datos!J12+Datos!Z12-(Datos!T12+Datos!AH12))/(Datos!T12+Datos!AH12))
     ),IF(J_V="SI",(Datos!J12-Datos!T12)/Datos!T12,(Datos!J12+Datos!Z12-(Datos!T12+Datos!AH12))/(Datos!T12+Datos!AH12))," - ")</f>
        <v>-0.13451776649746192</v>
      </c>
      <c r="D12" s="515">
        <f>IF(ISNUMBER(
   IF(J_V="SI",(Datos!K12-Datos!U12)/Datos!U12,(Datos!K12+Datos!AA12-(Datos!U12+Datos!AI12))/(Datos!U12+Datos!AI12))
     ),IF(J_V="SI",(Datos!K12-Datos!U12)/Datos!U12,(Datos!K12+Datos!AA12-(Datos!U12+Datos!AI12))/(Datos!U12+Datos!AI12))," - ")</f>
        <v>-0.18791946308724833</v>
      </c>
      <c r="E12" s="515">
        <f>IF(ISNUMBER(
   IF(J_V="SI",(Datos!L12-Datos!V12)/Datos!V12,(Datos!L12+Datos!AB12-(Datos!V12+Datos!AJ12))/(Datos!V12+Datos!AJ12))
     ),IF(J_V="SI",(Datos!L12-Datos!V12)/Datos!V12,(Datos!L12+Datos!AB12-(Datos!V12+Datos!AJ12))/(Datos!V12+Datos!AJ12))," - ")</f>
        <v>5.030674846625767E-2</v>
      </c>
      <c r="F12" s="515">
        <f>IF(ISNUMBER((Datos!M12-Datos!W12)/Datos!W12),(Datos!M12-Datos!W12)/Datos!W12," - ")</f>
        <v>0.24444444444444444</v>
      </c>
      <c r="G12" s="516">
        <f>IF(ISNUMBER((Datos!N12-Datos!X12)/Datos!X12),(Datos!N12-Datos!X12)/Datos!X12," - ")</f>
        <v>-0.42929292929292928</v>
      </c>
      <c r="H12" s="514">
        <f>IF(ISNUMBER(((NºAsuntos!G12/NºAsuntos!E12)-Datos!BD12)/Datos!BD12),((NºAsuntos!G12/NºAsuntos!E12)-Datos!BD12)/Datos!BD12," - ")</f>
        <v>-6.1701667027495188E-2</v>
      </c>
      <c r="I12" s="515">
        <f>IF(ISNUMBER(((NºAsuntos!I12/NºAsuntos!G12)-Datos!BE12)/Datos!BE12),((NºAsuntos!I12/NºAsuntos!G12)-Datos!BE12)/Datos!BE12," - ")</f>
        <v>0.29335293819398661</v>
      </c>
      <c r="J12" s="521">
        <f>IF(ISNUMBER((('Resol  Asuntos'!D12/NºAsuntos!G12)-Datos!BF12)/Datos!BF12),(('Resol  Asuntos'!D12/NºAsuntos!G12)-Datos!BF12)/Datos!BF12," - ")</f>
        <v>-0.30344770014191502</v>
      </c>
      <c r="K12" s="522">
        <f>IF(ISNUMBER((((NºAsuntos!C12+NºAsuntos!E12)/NºAsuntos!G12)-Datos!BG12)/Datos!BG12),(((NºAsuntos!C12+NºAsuntos!E12)/NºAsuntos!G12)-Datos!BG12)/Datos!BG12," - ")</f>
        <v>0.18944742046600563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1.8058690744920992E-2</v>
      </c>
      <c r="C14" s="1152">
        <f>IF(ISNUMBER(
   IF(J_V="SI",(Datos!J14-Datos!T14)/Datos!T14,(Datos!J14+Datos!Z14-(Datos!T14+Datos!AH14))/(Datos!T14+Datos!AH14))
     ),IF(J_V="SI",(Datos!J14-Datos!T14)/Datos!T14,(Datos!J14+Datos!Z14-(Datos!T14+Datos!AH14))/(Datos!T14+Datos!AH14))," - ")</f>
        <v>-0.12658227848101267</v>
      </c>
      <c r="D14" s="1152">
        <f>IF(ISNUMBER(
   IF(J_V="SI",(Datos!K14-Datos!U14)/Datos!U14,(Datos!K14+Datos!AA14-(Datos!U14+Datos!AI14))/(Datos!U14+Datos!AI14))
     ),IF(J_V="SI",(Datos!K14-Datos!U14)/Datos!U14,(Datos!K14+Datos!AA14-(Datos!U14+Datos!AI14))/(Datos!U14+Datos!AI14))," - ")</f>
        <v>-0.19153674832962139</v>
      </c>
      <c r="E14" s="1152">
        <f>IF(ISNUMBER(
   IF(J_V="SI",(Datos!L14-Datos!V14)/Datos!V14,(Datos!L14+Datos!AB14-(Datos!V14+Datos!AJ14))/(Datos!V14+Datos!AJ14))
     ),IF(J_V="SI",(Datos!L14-Datos!V14)/Datos!V14,(Datos!L14+Datos!AB14-(Datos!V14+Datos!AJ14))/(Datos!V14+Datos!AJ14))," - ")</f>
        <v>6.25E-2</v>
      </c>
      <c r="F14" s="1153">
        <f>IF(ISNUMBER((Datos!M14-Datos!W14)/Datos!W14),(Datos!M14-Datos!W14)/Datos!W14," - ")</f>
        <v>0.21739130434782608</v>
      </c>
      <c r="G14" s="1154">
        <f>IF(ISNUMBER((Datos!N14-Datos!X14)/Datos!X14),(Datos!N14-Datos!X14)/Datos!X14," - ")</f>
        <v>-0.42929292929292928</v>
      </c>
      <c r="H14" s="1154">
        <f>IF(ISNUMBER(((NºAsuntos!G14/NºAsuntos!E14)-Datos!BD14)/Datos!BD14),((NºAsuntos!G14/NºAsuntos!E14)-Datos!BD14)/Datos!BD14," - ")</f>
        <v>-7.4368161131015909E-2</v>
      </c>
      <c r="I14" s="1154">
        <f>IF(ISNUMBER(((NºAsuntos!I14/NºAsuntos!G14)-Datos!BE14)/Datos!BE14),((NºAsuntos!I14/NºAsuntos!G14)-Datos!BE14)/Datos!BE14," - ")</f>
        <v>0.31422176308539956</v>
      </c>
      <c r="J14" s="1154">
        <f>IF(ISNUMBER((('Resol  Asuntos'!D14/NºAsuntos!G14)-Datos!BF14)/Datos!BF14),(('Resol  Asuntos'!D14/NºAsuntos!G14)-Datos!BF14)/Datos!BF14," - ")</f>
        <v>-0.30732782369146006</v>
      </c>
      <c r="K14" s="1154">
        <f>IF(ISNUMBER((((NºAsuntos!C14+NºAsuntos!E14)/NºAsuntos!G14)-Datos!BG14)/Datos!BG14),(((NºAsuntos!C14+NºAsuntos!E14)/NºAsuntos!G14)-Datos!BG14)/Datos!BG14," - ")</f>
        <v>0.20408470482986141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0.24427480916030533</v>
      </c>
      <c r="C17" s="515">
        <f>IF(ISNUMBER(
   IF(D_I="SI",(Datos!J17-Datos!T17)/Datos!T17,(Datos!J17+Datos!AD17-(Datos!T17+Datos!AL17))/(Datos!T17+Datos!AL17))
     ),IF(D_I="SI",(Datos!J17-Datos!T17)/Datos!T17,(Datos!J17+Datos!AD17-(Datos!T17+Datos!AL17))/(Datos!T17+Datos!AL17))," - ")</f>
        <v>-0.10357142857142858</v>
      </c>
      <c r="D17" s="515">
        <f>IF(ISNUMBER(
   IF(D_I="SI",(Datos!K17-Datos!U17)/Datos!U17,(Datos!K17+Datos!AE17-(Datos!U17+Datos!AM17))/(Datos!U17+Datos!AM17))
     ),IF(D_I="SI",(Datos!K17-Datos!U17)/Datos!U17,(Datos!K17+Datos!AE17-(Datos!U17+Datos!AM17))/(Datos!U17+Datos!AM17))," - ")</f>
        <v>-4.924242424242424E-2</v>
      </c>
      <c r="E17" s="515">
        <f>IF(ISNUMBER(
   IF(D_I="SI",(Datos!L17-Datos!V17)/Datos!V17,(Datos!L17+Datos!AF17-(Datos!V17+Datos!AN17))/(Datos!V17+Datos!AN17))
     ),IF(D_I="SI",(Datos!L17-Datos!V17)/Datos!V17,(Datos!L17+Datos!AF17-(Datos!V17+Datos!AN17))/(Datos!V17+Datos!AN17))," - ")</f>
        <v>0.20517560073937152</v>
      </c>
      <c r="F17" s="515">
        <f>IF(ISNUMBER((Datos!M17-Datos!W17)/Datos!W17),(Datos!M17-Datos!W17)/Datos!W17," - ")</f>
        <v>-5.8823529411764705E-2</v>
      </c>
      <c r="G17" s="516">
        <f>IF(ISNUMBER((Datos!N17-Datos!X17)/Datos!X17),(Datos!N17-Datos!X17)/Datos!X17," - ")</f>
        <v>-0.12</v>
      </c>
      <c r="H17" s="514">
        <f>IF(ISNUMBER(((NºAsuntos!G17/NºAsuntos!E17)-Datos!BD17)/Datos!BD17),((NºAsuntos!G17/NºAsuntos!E17)-Datos!BD17)/Datos!BD17," - ")</f>
        <v>6.0606060606060629E-2</v>
      </c>
      <c r="I17" s="515">
        <f>IF(ISNUMBER(((NºAsuntos!I17/NºAsuntos!G17)-Datos!BE17)/Datos!BE17),((NºAsuntos!I17/NºAsuntos!G17)-Datos!BE17)/Datos!BE17," - ")</f>
        <v>0.26759505416411977</v>
      </c>
      <c r="J17" s="521">
        <f>IF(ISNUMBER((('Resol  Asuntos'!D17/NºAsuntos!G17)-Datos!BF17)/Datos!BF17),(('Resol  Asuntos'!D17/NºAsuntos!G17)-Datos!BF17)/Datos!BF17," - ")</f>
        <v>-1.0077337707991555E-2</v>
      </c>
      <c r="K17" s="522">
        <f>IF(ISNUMBER((((NºAsuntos!C17+NºAsuntos!E17)/NºAsuntos!G17)-Datos!BG17)/Datos!BG17),(((NºAsuntos!C17+NºAsuntos!E17)/NºAsuntos!G17)-Datos!BG17)/Datos!BG17," - ")</f>
        <v>0.18130463221739904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0.42105263157894735</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0.35714285714285715</v>
      </c>
      <c r="E18" s="515">
        <f>IF(ISNUMBER(
   IF(D_I="SI",(Datos!L18-Datos!V18)/Datos!V18,(Datos!L18+Datos!AF18-(Datos!V18+Datos!AN18))/(Datos!V18+Datos!AN18))
     ),IF(D_I="SI",(Datos!L18-Datos!V18)/Datos!V18,(Datos!L18+Datos!AF18-(Datos!V18+Datos!AN18))/(Datos!V18+Datos!AN18))," - ")</f>
        <v>0.34615384615384615</v>
      </c>
      <c r="F18" s="515" t="str">
        <f>IF(ISNUMBER((Datos!M18-Datos!W18)/Datos!W18),(Datos!M18-Datos!W18)/Datos!W18," - ")</f>
        <v xml:space="preserve"> - </v>
      </c>
      <c r="G18" s="516">
        <f>IF(ISNUMBER((Datos!N18-Datos!X18)/Datos!X18),(Datos!N18-Datos!X18)/Datos!X18," - ")</f>
        <v>0.21052631578947367</v>
      </c>
      <c r="H18" s="514">
        <f>IF(ISNUMBER(((NºAsuntos!G18/NºAsuntos!E18)-Datos!BD18)/Datos!BD18),((NºAsuntos!G18/NºAsuntos!E18)-Datos!BD18)/Datos!BD18," - ")</f>
        <v>0.16326530612244888</v>
      </c>
      <c r="I18" s="515">
        <f>IF(ISNUMBER(((NºAsuntos!I18/NºAsuntos!G18)-Datos!BE18)/Datos!BE18),((NºAsuntos!I18/NºAsuntos!G18)-Datos!BE18)/Datos!BE18," - ")</f>
        <v>-8.0971659919028133E-3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-5.9582919563058445E-3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0.26666666666666666</v>
      </c>
      <c r="C23" s="1152">
        <f>IF(ISNUMBER(
   IF(Criterios!B14="SI",(Datos!J23-Datos!T23)/Datos!T23,(Datos!J23+Datos!AD23-(Datos!T23+Datos!AL23))/(Datos!T23+Datos!AL23))
     ),IF(Criterios!B14="SI",(Datos!J23-Datos!T23)/Datos!T23,(Datos!J23+Datos!AD23-(Datos!T23+Datos!AL23))/(Datos!T23+Datos!AL23))," - ")</f>
        <v>-7.7419354838709681E-2</v>
      </c>
      <c r="D23" s="1152">
        <f>IF(ISNUMBER(
   IF(Criterios!B14="SI",(Datos!K23-Datos!U23)/Datos!U23,(Datos!K23+Datos!AE23-(Datos!U23+Datos!AM23))/(Datos!U23+Datos!AM23))
     ),IF(Criterios!B14="SI",(Datos!K23-Datos!U23)/Datos!U23,(Datos!K23+Datos!AE23-(Datos!U23+Datos!AM23))/(Datos!U23+Datos!AM23))," - ")</f>
        <v>-1.0273972602739725E-2</v>
      </c>
      <c r="E23" s="1152">
        <f>IF(ISNUMBER(
   IF(Criterios!B14="SI",(Datos!L23-Datos!V23)/Datos!V23,(Datos!L23+Datos!AF23-(Datos!V23+Datos!AN23))/(Datos!V23+Datos!AN23))
     ),IF(Criterios!B14="SI",(Datos!L23-Datos!V23)/Datos!V23,(Datos!L23+Datos!AF23-(Datos!V23+Datos!AN23))/(Datos!V23+Datos!AN23))," - ")</f>
        <v>0.22294022617124395</v>
      </c>
      <c r="F23" s="1153">
        <f>IF(ISNUMBER((Datos!M23-Datos!W23)/Datos!W23),(Datos!M23-Datos!W23)/Datos!W23," - ")</f>
        <v>2.9411764705882353E-2</v>
      </c>
      <c r="G23" s="1154">
        <f>IF(ISNUMBER((Datos!N23-Datos!X23)/Datos!X23),(Datos!N23-Datos!X23)/Datos!X23," - ")</f>
        <v>-8.7628865979381437E-2</v>
      </c>
      <c r="H23" s="1154">
        <f>IF(ISNUMBER(((NºAsuntos!G23/NºAsuntos!E23)-Datos!BD23)/Datos!BD23),((NºAsuntos!G23/NºAsuntos!E23)-Datos!BD23)/Datos!BD23," - ")</f>
        <v>7.2779959766261101E-2</v>
      </c>
      <c r="I23" s="1154">
        <f>IF(ISNUMBER(((NºAsuntos!I23/NºAsuntos!G23)-Datos!BE23)/Datos!BE23),((NºAsuntos!I23/NºAsuntos!G23)-Datos!BE23)/Datos!BE23," - ")</f>
        <v>0.23563510741177576</v>
      </c>
      <c r="J23" s="1154">
        <f>IF(ISNUMBER((('Resol  Asuntos'!D23/NºAsuntos!G23)-Datos!BF23)/Datos!BF23),(('Resol  Asuntos'!D23/NºAsuntos!G23)-Datos!BF23)/Datos!BF23," - ")</f>
        <v>4.0097699979645858E-2</v>
      </c>
      <c r="K23" s="1154">
        <f>IF(ISNUMBER((((NºAsuntos!C23+NºAsuntos!E23)/NºAsuntos!G23)-Datos!BG23)/Datos!BG23),(((NºAsuntos!C23+NºAsuntos!E23)/NºAsuntos!G23)-Datos!BG23)/Datos!BG23," - ")</f>
        <v>0.16138256207460366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0.11843876177658143</v>
      </c>
      <c r="C31" s="1092">
        <f>IF(ISNUMBER(
   IF(J_V="SI",(Datos!J31-Datos!T31)/Datos!T31,(Datos!J31+Datos!Z31-(Datos!T31+Datos!AH31))/(Datos!T31+Datos!AH31))
     ),IF(J_V="SI",(Datos!J31-Datos!T31)/Datos!T31,(Datos!J31+Datos!Z31-(Datos!T31+Datos!AH31))/(Datos!T31+Datos!AH31))," - ")</f>
        <v>-0.1049645390070922</v>
      </c>
      <c r="D31" s="1092">
        <f>IF(ISNUMBER(
   IF(J_V="SI",(Datos!K31-Datos!U31)/Datos!U31,(Datos!K31+Datos!AA31-(Datos!U31+Datos!AI31))/(Datos!U31+Datos!AI31))
     ),IF(J_V="SI",(Datos!K31-Datos!U31)/Datos!U31,(Datos!K31+Datos!AA31-(Datos!U31+Datos!AI31))/(Datos!U31+Datos!AI31))," - ")</f>
        <v>-0.12010796221322537</v>
      </c>
      <c r="E31" s="1092">
        <f>IF(ISNUMBER(
   IF(J_V="SI",(Datos!L31-Datos!V31)/Datos!V31,(Datos!L31+Datos!AB31-(Datos!V31+Datos!AJ31))/(Datos!V31+Datos!AJ31))
     ),IF(J_V="SI",(Datos!L31-Datos!V31)/Datos!V31,(Datos!L31+Datos!AB31-(Datos!V31+Datos!AJ31))/(Datos!V31+Datos!AJ31))," - ")</f>
        <v>0.13094417643004824</v>
      </c>
      <c r="F31" s="1093">
        <f>IF(ISNUMBER((Datos!M31-Datos!W31)/Datos!W31),(Datos!M31-Datos!W31)/Datos!W31," - ")</f>
        <v>0.16666666666666666</v>
      </c>
      <c r="G31" s="1094">
        <f>IF(ISNUMBER((Datos!N31-Datos!X31)/Datos!X31),(Datos!N31-Datos!X31)/Datos!X31," - ")</f>
        <v>-0.26020408163265307</v>
      </c>
      <c r="H31" s="1095">
        <f>IF(ISNUMBER((Tasas!B31-Datos!BD31)/Datos!BD31),(Tasas!B31-Datos!BD31)/Datos!BD31," - ")</f>
        <v>-1.6919355563112463E-2</v>
      </c>
      <c r="I31" s="1096">
        <f>IF(ISNUMBER((Tasas!C31-Datos!BE31)/Datos!BE31),(Tasas!C31-Datos!BE31)/Datos!BE31," - ")</f>
        <v>0.2853215256666653</v>
      </c>
      <c r="J31" s="1097">
        <f>IF(ISNUMBER((Tasas!D31-Datos!BF31)/Datos!BF31),(Tasas!D31-Datos!BF31)/Datos!BF31," - ")</f>
        <v>-0.28604294478527603</v>
      </c>
      <c r="K31" s="1097">
        <f>IF(ISNUMBER((Tasas!E31-Datos!BG31)/Datos!BG31),(Tasas!E31-Datos!BG31)/Datos!BG31," - ")</f>
        <v>0.18941192776920643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H/nvz5hhKGHs6kDKI6G/TNrhyNjMEr2gfXuWpz5n+QFBDMOylhJvpyguIE3j8bvDGMS8fZqjzmkEKskjzJmqw==" saltValue="+HVfB3gkI8yKLuDBvtgM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MONFORTE DE LEMOS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1.064516129032258</v>
      </c>
      <c r="C12" s="498">
        <f>IF(ISNUMBER(NºAsuntos!I12/NºAsuntos!G12),NºAsuntos!I12/NºAsuntos!G12," - ")</f>
        <v>2.3581267217630852</v>
      </c>
      <c r="D12" s="499">
        <f>IF(ISNUMBER('Resol  Asuntos'!D12/NºAsuntos!G12),'Resol  Asuntos'!D12/NºAsuntos!G12," - ")</f>
        <v>0.30853994490358128</v>
      </c>
      <c r="E12" s="500">
        <f>IF(ISNUMBER((NºAsuntos!C12+NºAsuntos!E12)/NºAsuntos!G12),(NºAsuntos!C12+NºAsuntos!E12)/NºAsuntos!G12," - ")</f>
        <v>3.3581267217630852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1.0521739130434782</v>
      </c>
      <c r="C14" s="1156">
        <f>IF(ISNUMBER(NºAsuntos!I14/NºAsuntos!G14),NºAsuntos!I14/NºAsuntos!G14," - ")</f>
        <v>2.4352617079889809</v>
      </c>
      <c r="D14" s="1157">
        <f>IF(ISNUMBER('Resol  Asuntos'!D14/NºAsuntos!G14),'Resol  Asuntos'!D14/NºAsuntos!G14," - ")</f>
        <v>0.30853994490358128</v>
      </c>
      <c r="E14" s="1158">
        <f>IF(ISNUMBER((NºAsuntos!C14+NºAsuntos!E14)/NºAsuntos!G14),(NºAsuntos!C14+NºAsuntos!E14)/NºAsuntos!G14," - ")</f>
        <v>3.4352617079889809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2.597609561752988</v>
      </c>
      <c r="D17" s="499">
        <f>IF(ISNUMBER('Resol  Asuntos'!D17/NºAsuntos!G17),'Resol  Asuntos'!D17/NºAsuntos!G17," - ")</f>
        <v>0.12749003984063745</v>
      </c>
      <c r="E17" s="500">
        <f>IF(ISNUMBER((NºAsuntos!C17+NºAsuntos!E17)/NºAsuntos!G17),(NºAsuntos!C17+NºAsuntos!E17)/NºAsuntos!G17," - ")</f>
        <v>3.597609561752988</v>
      </c>
      <c r="G17" s="523"/>
    </row>
    <row r="18" spans="1:7">
      <c r="A18" s="450" t="str">
        <f>Datos!A18</f>
        <v>Jdos. Violencia contra la mujer</v>
      </c>
      <c r="B18" s="497">
        <f>IF(ISNUMBER(NºAsuntos!G18/NºAsuntos!E18),NºAsuntos!G18/NºAsuntos!E18," - ")</f>
        <v>1.0857142857142856</v>
      </c>
      <c r="C18" s="498">
        <f>IF(ISNUMBER(NºAsuntos!I18/NºAsuntos!G18),NºAsuntos!I18/NºAsuntos!G18," - ")</f>
        <v>2.763157894736842</v>
      </c>
      <c r="D18" s="499">
        <f>IF(ISNUMBER('Resol  Asuntos'!D18/NºAsuntos!G18),'Resol  Asuntos'!D18/NºAsuntos!G18," - ")</f>
        <v>7.8947368421052627E-2</v>
      </c>
      <c r="E18" s="500">
        <f>IF(ISNUMBER((NºAsuntos!C18+NºAsuntos!E18)/NºAsuntos!G18),(NºAsuntos!C18+NºAsuntos!E18)/NºAsuntos!G18," - ")</f>
        <v>3.763157894736842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1.0104895104895104</v>
      </c>
      <c r="C23" s="1156">
        <f>IF(ISNUMBER(NºAsuntos!I23/NºAsuntos!G23),NºAsuntos!I23/NºAsuntos!G23," - ")</f>
        <v>2.6193771626297577</v>
      </c>
      <c r="D23" s="1159">
        <f>IF(ISNUMBER('Resol  Asuntos'!D23/NºAsuntos!G23),'Resol  Asuntos'!D23/NºAsuntos!G23," - ")</f>
        <v>0.12110726643598616</v>
      </c>
      <c r="E23" s="1158">
        <f>IF(ISNUMBER((NºAsuntos!C23+NºAsuntos!E23)/NºAsuntos!G23),(NºAsuntos!C23+NºAsuntos!E23)/NºAsuntos!G23," - ")</f>
        <v>3.6193771626297577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1.0332805071315372</v>
      </c>
      <c r="C31" s="1099">
        <f>IF(ISNUMBER(NºAsuntos!I31/NºAsuntos!G31),NºAsuntos!I31/NºAsuntos!G31," - ")</f>
        <v>2.5168711656441718</v>
      </c>
      <c r="D31" s="1100">
        <f>IF(ISNUMBER('Resol  Asuntos'!D31/NºAsuntos!G31),'Resol  Asuntos'!D31/NºAsuntos!G31," - ")</f>
        <v>0.22546012269938651</v>
      </c>
      <c r="E31" s="1101">
        <f>IF(ISNUMBER((NºAsuntos!C31+NºAsuntos!E31)/NºAsuntos!G31),(NºAsuntos!C31+NºAsuntos!E31)/NºAsuntos!G31," - ")</f>
        <v>3.5168711656441718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fGVS0niyHw5kUbPLrLRtGSDez/gSQYL/nRDf0dKy+VMCRXP6fcVLHrXXu7097h+h746w7c0zMLFKZmHRPhmFQ==" saltValue="5mq1no6StAG6a9EQRKef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MONFORTE DE LEMOS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28</v>
      </c>
      <c r="AB10" s="374">
        <f>IF(ISNUMBER(Datos!R10),Datos!R10," - ")</f>
        <v>0</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1.064516129032258</v>
      </c>
      <c r="AM12" s="284">
        <f>IF(ISNUMBER(((NºAsuntos!I12/NºAsuntos!G12)*11)/factor_trimestre),((NºAsuntos!I12/NºAsuntos!G12)*11)/factor_trimestre," - ")</f>
        <v>7.0743801652892557</v>
      </c>
      <c r="AN12" s="267">
        <f>IF(ISNUMBER('Resol  Asuntos'!D12/NºAsuntos!G12),'Resol  Asuntos'!D12/NºAsuntos!G12," - ")</f>
        <v>0.30853994490358128</v>
      </c>
      <c r="AO12" s="268">
        <f>IF(ISNUMBER((NºAsuntos!C12+NºAsuntos!E12)/NºAsuntos!G12),(NºAsuntos!C12+NºAsuntos!E12)/NºAsuntos!G12," - ")</f>
        <v>3.3581267217630852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24</v>
      </c>
      <c r="G14" s="1163">
        <f t="shared" si="5"/>
        <v>24</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65</v>
      </c>
      <c r="Y14" s="1165">
        <f t="shared" si="6"/>
        <v>65</v>
      </c>
      <c r="Z14" s="1165">
        <f t="shared" si="6"/>
        <v>0</v>
      </c>
      <c r="AA14" s="1165">
        <f t="shared" si="6"/>
        <v>28</v>
      </c>
      <c r="AB14" s="1165">
        <f t="shared" si="6"/>
        <v>683</v>
      </c>
      <c r="AC14" s="1165">
        <f t="shared" si="6"/>
        <v>28</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1.0521739130434782</v>
      </c>
      <c r="AM14" s="1171">
        <f>IF(ISNUMBER(((NºAsuntos!I14/NºAsuntos!G14)*11)/factor_trimestre),((NºAsuntos!I14/NºAsuntos!G14)*11)/factor_trimestre," - ")</f>
        <v>7.3057851239669427</v>
      </c>
      <c r="AN14" s="1172">
        <f>IF(ISNUMBER('Resol  Asuntos'!D14/NºAsuntos!G14),'Resol  Asuntos'!D14/NºAsuntos!G14," - ")</f>
        <v>0.30853994490358128</v>
      </c>
      <c r="AO14" s="1173">
        <f>IF(ISNUMBER((NºAsuntos!C14+NºAsuntos!E14)/NºAsuntos!G14),(NºAsuntos!C14+NºAsuntos!E14)/NºAsuntos!G14," - ")</f>
        <v>3.4352617079889809</v>
      </c>
      <c r="AP14" s="1174" t="str">
        <f t="shared" si="2"/>
        <v xml:space="preserve"> - </v>
      </c>
      <c r="AQ14" s="1174">
        <f>IF(ISNUMBER((H14-W14+K14)/(F14)),(H14-W14+K14)/(F14)," - ")</f>
        <v>0</v>
      </c>
      <c r="AR14" s="1175">
        <f>IF(ISNUMBER((Datos!P14-Datos!Q14)/(Datos!R14-Datos!P14+Datos!Q14)),(Datos!P14-Datos!Q14)/(Datos!R14-Datos!P14+Datos!Q14)," - ")</f>
        <v>-4.3731778425655978E-3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652</v>
      </c>
      <c r="G17" s="373">
        <f>IF(ISNUMBER(IF(D_I="SI",Datos!I17,Datos!I17+Datos!AC17)),IF(D_I="SI",Datos!I17,Datos!I17+Datos!AC17)," - ")</f>
        <v>652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251</v>
      </c>
      <c r="X17" s="240">
        <f>IF(ISNUMBER(Datos!Q17),Datos!Q17," - ")</f>
        <v>3</v>
      </c>
      <c r="Y17" s="374">
        <f t="shared" ref="Y17:Y22" si="9">SUM(W17:X17)</f>
        <v>254</v>
      </c>
      <c r="Z17" s="375" t="str">
        <f>IF(ISNUMBER(Datos!CC17),Datos!CC17," - ")</f>
        <v xml:space="preserve"> - </v>
      </c>
      <c r="AA17" s="372">
        <f>IF(ISNUMBER(IF(D_I="SI",Datos!L17,Datos!L17+Datos!AF17)),IF(D_I="SI",Datos!L17,Datos!L17+Datos!AF17)," - ")</f>
        <v>652</v>
      </c>
      <c r="AB17" s="374">
        <f>IF(ISNUMBER(Datos!R17),Datos!R17," - ")</f>
        <v>45</v>
      </c>
      <c r="AC17" s="374">
        <f t="shared" si="8"/>
        <v>697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7.7928286852589643</v>
      </c>
      <c r="AN17" s="267">
        <f>IF(ISNUMBER('Resol  Asuntos'!D17/NºAsuntos!G17),'Resol  Asuntos'!D17/NºAsuntos!G17," - ")</f>
        <v>0.12749003984063745</v>
      </c>
      <c r="AO17" s="268">
        <f>IF(ISNUMBER((NºAsuntos!C17+NºAsuntos!E17)/NºAsuntos!G17),(NºAsuntos!C17+NºAsuntos!E17)/NºAsuntos!G17," - ")</f>
        <v>3.597609561752988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105</v>
      </c>
      <c r="AB18" s="374">
        <f>IF(ISNUMBER(Datos!R18),Datos!R18," - ")</f>
        <v>3</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1.0857142857142856</v>
      </c>
      <c r="AM18" s="284">
        <f>IF(ISNUMBER(((NºAsuntos!I18/NºAsuntos!G18)*11)/factor_trimestre),((NºAsuntos!I18/NºAsuntos!G18)*11)/factor_trimestre," - ")</f>
        <v>8.2894736842105274</v>
      </c>
      <c r="AN18" s="267">
        <f>IF(ISNUMBER('Resol  Asuntos'!D18/NºAsuntos!G18),'Resol  Asuntos'!D18/NºAsuntos!G18," - ")</f>
        <v>7.8947368421052627E-2</v>
      </c>
      <c r="AO18" s="268">
        <f>IF(ISNUMBER((NºAsuntos!C18+NºAsuntos!E18)/NºAsuntos!G18),(NºAsuntos!C18+NºAsuntos!E18)/NºAsuntos!G18," - ")</f>
        <v>3.763157894736842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652</v>
      </c>
      <c r="G23" s="1163">
        <f>SUBTOTAL(9,G16:G22)</f>
        <v>760</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v>
      </c>
      <c r="X23" s="1164">
        <f t="shared" si="14"/>
        <v>3</v>
      </c>
      <c r="Y23" s="1165">
        <f t="shared" si="14"/>
        <v>292</v>
      </c>
      <c r="Z23" s="1165">
        <f t="shared" si="14"/>
        <v>0</v>
      </c>
      <c r="AA23" s="1165">
        <f t="shared" si="14"/>
        <v>757</v>
      </c>
      <c r="AB23" s="1165">
        <f t="shared" si="14"/>
        <v>48</v>
      </c>
      <c r="AC23" s="1165">
        <f t="shared" si="14"/>
        <v>805</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1.0104895104895104</v>
      </c>
      <c r="AM23" s="1171">
        <f>IF(ISNUMBER(((NºAsuntos!I23/NºAsuntos!G23)*11)/factor_trimestre),((NºAsuntos!I23/NºAsuntos!G23)*11)/factor_trimestre," - ")</f>
        <v>7.8581314878892741</v>
      </c>
      <c r="AN23" s="1172">
        <f>IF(ISNUMBER('Resol  Asuntos'!D23/NºAsuntos!G23),'Resol  Asuntos'!D23/NºAsuntos!G23," - ")</f>
        <v>0.12110726643598616</v>
      </c>
      <c r="AO23" s="1173">
        <f>IF(ISNUMBER((NºAsuntos!C23+NºAsuntos!E23)/NºAsuntos!G23),(NºAsuntos!C23+NºAsuntos!E23)/NºAsuntos!G23," - ")</f>
        <v>3.6193771626297577</v>
      </c>
      <c r="AP23" s="1174" t="str">
        <f t="shared" si="2"/>
        <v xml:space="preserve"> - </v>
      </c>
      <c r="AQ23" s="1174">
        <f>IF(ISNUMBER((H23-W23+K23)/(F23)),(H23-W23+K23)/(F23)," - ")</f>
        <v>-0.44325153374233128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676</v>
      </c>
      <c r="G31" s="1118">
        <f t="shared" si="20"/>
        <v>784</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289</v>
      </c>
      <c r="X31" s="1118">
        <f t="shared" si="21"/>
        <v>68</v>
      </c>
      <c r="Y31" s="1125">
        <f t="shared" si="21"/>
        <v>357</v>
      </c>
      <c r="Z31" s="1125">
        <f t="shared" si="21"/>
        <v>0</v>
      </c>
      <c r="AA31" s="1125">
        <f t="shared" si="21"/>
        <v>785</v>
      </c>
      <c r="AB31" s="1125">
        <f t="shared" si="21"/>
        <v>731</v>
      </c>
      <c r="AC31" s="1125">
        <f t="shared" si="21"/>
        <v>833</v>
      </c>
      <c r="AD31" s="1125">
        <f t="shared" si="21"/>
        <v>0</v>
      </c>
      <c r="AE31" s="1127">
        <f t="shared" si="21"/>
        <v>0</v>
      </c>
      <c r="AF31" s="1128">
        <f t="shared" si="21"/>
        <v>0</v>
      </c>
      <c r="AG31" s="1129">
        <f t="shared" si="21"/>
        <v>0</v>
      </c>
      <c r="AH31" s="1127">
        <f t="shared" si="21"/>
        <v>0</v>
      </c>
      <c r="AI31" s="1117">
        <f t="shared" si="21"/>
        <v>147</v>
      </c>
      <c r="AJ31" s="1117">
        <f t="shared" si="21"/>
        <v>0</v>
      </c>
      <c r="AK31" s="1127">
        <f t="shared" si="21"/>
        <v>0</v>
      </c>
      <c r="AL31" s="1183">
        <f>IF(ISNUMBER(NºAsuntos!G31/NºAsuntos!E31),NºAsuntos!G31/NºAsuntos!E31," - ")</f>
        <v>1.0332805071315372</v>
      </c>
      <c r="AM31" s="1184">
        <f>IF(ISNUMBER(((NºAsuntos!I31/NºAsuntos!G31)*11)/factor_trimestre),((NºAsuntos!I31/NºAsuntos!G31)*11)/factor_trimestre," - ")</f>
        <v>7.5506134969325158</v>
      </c>
      <c r="AN31" s="1184">
        <f>IF(ISNUMBER('Resol  Asuntos'!D31/NºAsuntos!G31),'Resol  Asuntos'!D31/NºAsuntos!G31," - ")</f>
        <v>0.22546012269938651</v>
      </c>
      <c r="AO31" s="1185">
        <f>IF(ISNUMBER((NºAsuntos!C31+NºAsuntos!E31)/NºAsuntos!G31),(NºAsuntos!C31+NºAsuntos!E31)/NºAsuntos!G31," - ")</f>
        <v>3.5168711656441718</v>
      </c>
      <c r="AP31" s="1186" t="str">
        <f t="shared" si="2"/>
        <v xml:space="preserve"> - </v>
      </c>
      <c r="AQ31" s="1187">
        <f>IF(OR(ISNUMBER(FIND("01",Criterios!A8,1)),ISNUMBER(FIND("02",Criterios!A8,1)),ISNUMBER(FIND("03",Criterios!A8,1)),ISNUMBER(FIND("04",Criterios!A8,1))),(I31-W31+K31)/(F31-K31),(H31-W31+K31)/(F31-K31))</f>
        <v>-0.4275147928994083</v>
      </c>
      <c r="AR31" s="1188">
        <f>IF(ISNUMBER((Datos!P31-Datos!Q31)/(Datos!R31-Datos!P31+Datos!Q31)),(Datos!P31-Datos!Q31)/(Datos!R31-Datos!P31+Datos!Q31)," - ")</f>
        <v>-4.0871934604904629E-3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330.66881719730793</v>
      </c>
      <c r="G33" s="277">
        <f>IF(ISNUMBER(STDEV(G8:G30)),STDEV(G8:G30),"-")</f>
        <v>332.73813527557473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129.25408716020956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48.611433105509533</v>
      </c>
      <c r="AJ33" s="276">
        <f t="shared" si="25"/>
        <v>0</v>
      </c>
      <c r="AK33" s="278">
        <f t="shared" si="25"/>
        <v>0</v>
      </c>
      <c r="AL33" s="273">
        <f t="shared" si="25"/>
        <v>0.42686892564588025</v>
      </c>
      <c r="AM33" s="274">
        <f t="shared" si="25"/>
        <v>0.47996629295084825</v>
      </c>
      <c r="AN33" s="274">
        <f t="shared" si="25"/>
        <v>0.11077460093788684</v>
      </c>
      <c r="AO33" s="275">
        <f t="shared" si="25"/>
        <v>0.15998876431694925</v>
      </c>
      <c r="AP33" s="317" t="str">
        <f t="shared" si="25"/>
        <v>-</v>
      </c>
      <c r="AQ33" s="318">
        <f t="shared" si="25"/>
        <v>0.31342616528054024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TOG2RAaA+Z9WNAxgJ8OTfJPjdc6vLcfpuFCGjU0kYvbAA9gpnSSGronO87SmUySR00yth/nyKPFbJtslYsBbw==" saltValue="uXmuJczh5dB3AX4jaBKD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MONFORTE DE LEMOS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3</v>
      </c>
      <c r="F10" s="393">
        <f>IF(ISNUMBER((Datos!K10-Datos!U10)/Datos!U10),(Datos!K10-Datos!U10)/Datos!U10," - ")</f>
        <v>-1</v>
      </c>
      <c r="G10" s="394">
        <f>IF(ISNUMBER((Datos!L10-Datos!V10)/Datos!V10),(Datos!L10-Datos!V10)/Datos!V10," - ")</f>
        <v>0.6470588235294118</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0.24444444444444444</v>
      </c>
      <c r="I12" s="395">
        <f>IF(ISNUMBER((Tasas!C12-Datos!BE12)/Datos!BE12),(Tasas!C12-Datos!BE12)/Datos!BE12," - ")</f>
        <v>0.29335293819398661</v>
      </c>
      <c r="J12" s="394">
        <f>IF(ISNUMBER((Tasas!D12-Datos!BF12)/Datos!BF12),(Tasas!D12-Datos!BF12)/Datos!BF12," - ")</f>
        <v>-0.30344770014191502</v>
      </c>
      <c r="K12" s="396">
        <f>IF(ISNUMBER((Tasas!E12-Datos!BG12)/Datos!BG12),(Tasas!E12-Datos!BG12)/Datos!BG12," - ")</f>
        <v>0.18944742046600563</v>
      </c>
      <c r="M12" t="e">
        <f>IF(Monitorios="SI",Datos!CE12,0)</f>
        <v>#REF!</v>
      </c>
      <c r="N12" t="e">
        <f>IF(Monitorios="SI",Datos!CF12,0)</f>
        <v>#REF!</v>
      </c>
      <c r="O12" t="e">
        <f>IF(Monitorios="SI",Datos!CG12,0)</f>
        <v>#REF!</v>
      </c>
      <c r="P12" t="e">
        <f>IF(Monitorios="SI",Datos!CH12,0)</f>
        <v>#REF!</v>
      </c>
      <c r="Q12">
        <f>IF(J_V="SI",0,Datos!AG12)</f>
        <v>62</v>
      </c>
      <c r="R12">
        <f>IF(J_V="SI",0,Datos!AH12)</f>
        <v>46</v>
      </c>
      <c r="S12">
        <f>IF(J_V="SI",0,Datos!AI12)</f>
        <v>71</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0.21739130434782608</v>
      </c>
      <c r="I14" s="402">
        <f>IF(ISNUMBER((Tasas!C14-Datos!BE14)/Datos!BE14),(Tasas!C14-Datos!BE14)/Datos!BE14," - ")</f>
        <v>0.31422176308539956</v>
      </c>
      <c r="J14" s="400">
        <f>IF(ISNUMBER((Tasas!D14-Datos!BF14)/Datos!BF14),(Tasas!D14-Datos!BF14)/Datos!BF14," - ")</f>
        <v>-0.30732782369146006</v>
      </c>
      <c r="K14" s="403">
        <f>IF(ISNUMBER((Tasas!E14-Datos!BG14)/Datos!BG14),(Tasas!E14-Datos!BG14)/Datos!BG14," - ")</f>
        <v>0.20408470482986141</v>
      </c>
      <c r="M14" t="e">
        <f>IF(Monitorios="SI",Datos!CE14,0)</f>
        <v>#REF!</v>
      </c>
      <c r="N14" t="e">
        <f>IF(Monitorios="SI",Datos!CF14,0)</f>
        <v>#REF!</v>
      </c>
      <c r="O14" t="e">
        <f>IF(Monitorios="SI",Datos!CG14,0)</f>
        <v>#REF!</v>
      </c>
      <c r="P14" t="e">
        <f>IF(Monitorios="SI",Datos!CH14,0)</f>
        <v>#REF!</v>
      </c>
      <c r="Q14">
        <f>IF(J_V="SI",0,Datos!AG14)</f>
        <v>62</v>
      </c>
      <c r="R14">
        <f>IF(J_V="SI",0,Datos!AH14)</f>
        <v>46</v>
      </c>
      <c r="S14">
        <f>IF(J_V="SI",0,Datos!AI14)</f>
        <v>71</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0.24427480916030533</v>
      </c>
      <c r="E17" s="393">
        <f>IF(ISNUMBER(
   IF(D_I="SI",(Datos!J17-Datos!T17)/Datos!T17,(Datos!J17+Datos!AD17-(Datos!T17+Datos!AL17))/(Datos!T17+Datos!AL17))
     ),IF(D_I="SI",(Datos!J17-Datos!T17)/Datos!T17,(Datos!J17+Datos!AD17-(Datos!T17+Datos!AL17))/(Datos!T17+Datos!AL17))," - ")</f>
        <v>-0.10357142857142858</v>
      </c>
      <c r="F17" s="393">
        <f>IF(ISNUMBER(
   IF(D_I="SI",(Datos!K17-Datos!U17)/Datos!U17,(Datos!K17+Datos!AE17-(Datos!U17+Datos!AM17))/(Datos!U17+Datos!AM17))
     ),IF(D_I="SI",(Datos!K17-Datos!U17)/Datos!U17,(Datos!K17+Datos!AE17-(Datos!U17+Datos!AM17))/(Datos!U17+Datos!AM17))," - ")</f>
        <v>-4.924242424242424E-2</v>
      </c>
      <c r="G17" s="394">
        <f>IF(ISNUMBER(
   IF(D_I="SI",(Datos!L17-Datos!V17)/Datos!V17,(Datos!L17+Datos!AF17-(Datos!V17+Datos!AN17))/(Datos!V17+Datos!AN17))
     ),IF(D_I="SI",(Datos!L17-Datos!V17)/Datos!V17,(Datos!L17+Datos!AF17-(Datos!V17+Datos!AN17))/(Datos!V17+Datos!AN17))," - ")</f>
        <v>0.20517560073937152</v>
      </c>
      <c r="H17" s="244">
        <f>IF(ISNUMBER((Datos!M17-Datos!W17)/Datos!W17),(Datos!M17-Datos!W17)/Datos!W17," - ")</f>
        <v>-5.8823529411764705E-2</v>
      </c>
      <c r="I17" s="395">
        <f>IF(ISNUMBER((Tasas!C17-Datos!BE17)/Datos!BE17),(Tasas!C17-Datos!BE17)/Datos!BE17," - ")</f>
        <v>0.26759505416411977</v>
      </c>
      <c r="J17" s="394">
        <f>IF(ISNUMBER((Tasas!D17-Datos!BF17)/Datos!BF17),(Tasas!D17-Datos!BF17)/Datos!BF17," - ")</f>
        <v>-1.0077337707991555E-2</v>
      </c>
      <c r="K17" s="396">
        <f>IF(ISNUMBER((Tasas!E17-Datos!BG17)/Datos!BG17),(Tasas!E17-Datos!BG17)/Datos!BG17," - ")</f>
        <v>0.18130463221739904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0.42105263157894735</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0.35714285714285715</v>
      </c>
      <c r="G18" s="394">
        <f>IF(ISNUMBER(
   IF(D_I="SI",(Datos!L18-Datos!V18)/Datos!V18,(Datos!L18+Datos!AF18-(Datos!V18+Datos!AN18))/(Datos!V18+Datos!AN18))
     ),IF(D_I="SI",(Datos!L18-Datos!V18)/Datos!V18,(Datos!L18+Datos!AF18-(Datos!V18+Datos!AN18))/(Datos!V18+Datos!AN18))," - ")</f>
        <v>0.34615384615384615</v>
      </c>
      <c r="H18" s="244" t="str">
        <f>IF(ISNUMBER((Datos!M18-Datos!W18)/Datos!W18),(Datos!M18-Datos!W18)/Datos!W18," - ")</f>
        <v xml:space="preserve"> - </v>
      </c>
      <c r="I18" s="395">
        <f>IF(ISNUMBER((Tasas!C18-Datos!BE18)/Datos!BE18),(Tasas!C18-Datos!BE18)/Datos!BE18," - ")</f>
        <v>-8.0971659919028133E-3</v>
      </c>
      <c r="J18" s="394" t="str">
        <f>IF(ISNUMBER((Tasas!D18-Datos!BF18)/Datos!BF18),(Tasas!D18-Datos!BF18)/Datos!BF18," - ")</f>
        <v xml:space="preserve"> - </v>
      </c>
      <c r="K18" s="396">
        <f>IF(ISNUMBER((Tasas!E18-Datos!BG18)/Datos!BG18),(Tasas!E18-Datos!BG18)/Datos!BG18," - ")</f>
        <v>-5.9582919563058445E-3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0.26666666666666666</v>
      </c>
      <c r="E23" s="399">
        <f>IF(ISNUMBER(
   IF(D_I="SI",(Datos!J23-Datos!T23)/Datos!T23,(Datos!J23+Datos!AD23-(Datos!T23+Datos!AL23))/(Datos!T23+Datos!AL23))
     ),IF(D_I="SI",(Datos!J23-Datos!T23)/Datos!T23,(Datos!J23+Datos!AD23-(Datos!T23+Datos!AL23))/(Datos!T23+Datos!AL23))," - ")</f>
        <v>-7.7419354838709681E-2</v>
      </c>
      <c r="F23" s="399">
        <f>IF(ISNUMBER(
   IF(D_I="SI",(Datos!K23-Datos!U23)/Datos!U23,(Datos!K23+Datos!AE23-(Datos!U23+Datos!AM23))/(Datos!U23+Datos!AM23))
     ),IF(D_I="SI",(Datos!K23-Datos!U23)/Datos!U23,(Datos!K23+Datos!AE23-(Datos!U23+Datos!AM23))/(Datos!U23+Datos!AM23))," - ")</f>
        <v>-1.0273972602739725E-2</v>
      </c>
      <c r="G23" s="400">
        <f>IF(ISNUMBER(
   IF(D_I="SI",(Datos!L23-Datos!V23)/Datos!V23,(Datos!L23+Datos!AF23-(Datos!V23+Datos!AN23))/(Datos!V23+Datos!AN23))
     ),IF(D_I="SI",(Datos!L23-Datos!V23)/Datos!V23,(Datos!L23+Datos!AF23-(Datos!V23+Datos!AN23))/(Datos!V23+Datos!AN23))," - ")</f>
        <v>0.22294022617124395</v>
      </c>
      <c r="H23" s="401">
        <f>IF(ISNUMBER((Datos!M23-Datos!W23)/Datos!W23),(Datos!M23-Datos!W23)/Datos!W23," - ")</f>
        <v>2.9411764705882353E-2</v>
      </c>
      <c r="I23" s="402">
        <f>IF(ISNUMBER((Tasas!C23-Datos!BE23)/Datos!BE23),(Tasas!C23-Datos!BE23)/Datos!BE23," - ")</f>
        <v>0.23563510741177576</v>
      </c>
      <c r="J23" s="400">
        <f>IF(ISNUMBER((Tasas!D23-Datos!BF23)/Datos!BF23),(Tasas!D23-Datos!BF23)/Datos!BF23," - ")</f>
        <v>4.0097699979645858E-2</v>
      </c>
      <c r="K23" s="403">
        <f>IF(ISNUMBER((Tasas!E23-Datos!BG23)/Datos!BG23),(Tasas!E23-Datos!BG23)/Datos!BG23," - ")</f>
        <v>0.16138256207460366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0.11843876177658143</v>
      </c>
      <c r="E31" s="409">
        <f>IF(ISNUMBER(
   IF(J_V="SI",(Datos!J31-Datos!T31)/Datos!T31,(Datos!J31+Datos!Z31-(Datos!T31+Datos!AH31))/(Datos!T31+Datos!AH31))
     ),IF(J_V="SI",(Datos!J31-Datos!T31)/Datos!T31,(Datos!J31+Datos!Z31-(Datos!T31+Datos!AH31))/(Datos!T31+Datos!AH31))," - ")</f>
        <v>-0.1049645390070922</v>
      </c>
      <c r="F31" s="409">
        <f>IF(ISNUMBER(
   IF(J_V="SI",(Datos!K31-Datos!U31)/Datos!U31,(Datos!K31+Datos!AA31-(Datos!U31+Datos!AI31))/(Datos!U31+Datos!AI31))
     ),IF(J_V="SI",(Datos!K31-Datos!U31)/Datos!U31,(Datos!K31+Datos!AA31-(Datos!U31+Datos!AI31))/(Datos!U31+Datos!AI31))," - ")</f>
        <v>-0.12010796221322537</v>
      </c>
      <c r="G31" s="410">
        <f>IF(ISNUMBER(
   IF(J_V="SI",(Datos!L31-Datos!V31)/Datos!V31,(Datos!L31+Datos!AB31-(Datos!V31+Datos!AJ31))/(Datos!V31+Datos!AJ31))
     ),IF(J_V="SI",(Datos!L31-Datos!V31)/Datos!V31,(Datos!L31+Datos!AB31-(Datos!V31+Datos!AJ31))/(Datos!V31+Datos!AJ31))," - ")</f>
        <v>0.13094417643004824</v>
      </c>
      <c r="H31" s="411">
        <f>IF(ISNUMBER((Datos!M31-Datos!W31)/Datos!W31),(Datos!M31-Datos!W31)/Datos!W31," - ")</f>
        <v>0.16666666666666666</v>
      </c>
      <c r="I31" s="408">
        <f>IF(ISNUMBER((Tasas!C31-Datos!BE31)/Datos!BE31),(Tasas!C31-Datos!BE31)/Datos!BE31," - ")</f>
        <v>0.2853215256666653</v>
      </c>
      <c r="J31" s="409">
        <f>IF(ISNUMBER((Tasas!D31-Datos!BF31)/Datos!BF31),(Tasas!D31-Datos!BF31)/Datos!BF31," - ")</f>
        <v>-0.28604294478527603</v>
      </c>
      <c r="K31" s="410">
        <f>IF(ISNUMBER((Tasas!E31-Datos!BG31)/Datos!BG31),(Tasas!E31-Datos!BG31)/Datos!BG31," - ")</f>
        <v>0.18941192776920643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7.9402645002430092E-2</v>
      </c>
      <c r="E33" s="303">
        <f t="shared" si="1"/>
        <v>1.5073081365061398</v>
      </c>
      <c r="F33" s="303">
        <f t="shared" si="1"/>
        <v>0.57929533168841985</v>
      </c>
      <c r="G33" s="304">
        <f t="shared" si="1"/>
        <v>0.2043390190271748</v>
      </c>
      <c r="H33" s="310">
        <f t="shared" si="1"/>
        <v>0.51159281131904588</v>
      </c>
      <c r="I33" s="302">
        <f t="shared" si="1"/>
        <v>0.13114399600663396</v>
      </c>
      <c r="J33" s="303">
        <f t="shared" si="1"/>
        <v>0.1861192599698199</v>
      </c>
      <c r="K33" s="304">
        <f t="shared" si="1"/>
        <v>8.6365300351906177E-2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gZhSO3KgsdirYu9u4CW2nZWlrWHqiJ4nHQ2vsuhFSmButg56WAnWS8dnP8qLfgHYZIbpqTVSEaSV5uvzKQ++g==" saltValue="SvuL+1XMorkKSRx0LFJw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